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075" tabRatio="848"/>
  </bookViews>
  <sheets>
    <sheet name="С-95" sheetId="1" r:id="rId1"/>
    <sheet name="Ст-Д13а" sheetId="5" r:id="rId2"/>
    <sheet name="Г-19" sheetId="7" r:id="rId3"/>
    <sheet name="К-21" sheetId="8" r:id="rId4"/>
    <sheet name="Г-21" sheetId="10" r:id="rId5"/>
    <sheet name="К-25" sheetId="11" r:id="rId6"/>
    <sheet name="К-31А" sheetId="12" r:id="rId7"/>
    <sheet name="К-27А" sheetId="14" r:id="rId8"/>
    <sheet name="К-27" sheetId="16" r:id="rId9"/>
    <sheet name="К-47" sheetId="17" r:id="rId10"/>
    <sheet name="К-49" sheetId="18" r:id="rId11"/>
    <sheet name="Кр-162" sheetId="19" r:id="rId12"/>
    <sheet name="Кр-172" sheetId="20" r:id="rId13"/>
    <sheet name="Р-БР1А" sheetId="21" r:id="rId14"/>
    <sheet name="А-8" sheetId="22" r:id="rId15"/>
    <sheet name="К-45" sheetId="23" r:id="rId16"/>
    <sheet name="Р-7" sheetId="24" r:id="rId17"/>
    <sheet name="К-43" sheetId="25" r:id="rId18"/>
    <sheet name="К-64" sheetId="26" r:id="rId19"/>
    <sheet name="К-70" sheetId="27" r:id="rId20"/>
    <sheet name="Кр-31" sheetId="28" r:id="rId21"/>
    <sheet name="Кр-9" sheetId="29" r:id="rId22"/>
  </sheets>
  <calcPr calcId="125725" refMode="R1C1"/>
</workbook>
</file>

<file path=xl/calcChain.xml><?xml version="1.0" encoding="utf-8"?>
<calcChain xmlns="http://schemas.openxmlformats.org/spreadsheetml/2006/main">
  <c r="D17" i="1"/>
  <c r="D14" i="24"/>
  <c r="D21" i="29"/>
  <c r="D26" i="28"/>
  <c r="D14" s="1"/>
  <c r="D24" i="16"/>
  <c r="D17" i="11"/>
  <c r="D16" i="16"/>
  <c r="D16" i="17"/>
  <c r="D16" i="19"/>
  <c r="D17" i="20"/>
  <c r="D15" i="8"/>
  <c r="D16" i="18"/>
  <c r="D14" i="21"/>
  <c r="D17" i="25"/>
  <c r="D16" i="26"/>
  <c r="D14" i="27"/>
  <c r="D16" i="29"/>
  <c r="D15" s="1"/>
  <c r="E16" i="14"/>
  <c r="D16" i="12"/>
  <c r="D14" i="10"/>
  <c r="D16" i="5"/>
  <c r="D16" i="23"/>
  <c r="D15" i="7"/>
  <c r="D15" i="22"/>
  <c r="D28" i="28"/>
  <c r="D35" i="27"/>
  <c r="D6" i="24" l="1"/>
  <c r="D6" i="29"/>
  <c r="D6" i="28"/>
  <c r="D29" i="5"/>
  <c r="D41"/>
  <c r="D6"/>
  <c r="D38" i="20"/>
  <c r="D6"/>
  <c r="D5"/>
  <c r="D3"/>
  <c r="D6" i="19"/>
  <c r="D6" i="1"/>
  <c r="D9" i="7"/>
  <c r="D6" i="8"/>
  <c r="D6" i="7"/>
  <c r="D6" i="10"/>
  <c r="D7" i="11"/>
  <c r="D6" i="12"/>
  <c r="E6" i="14"/>
  <c r="D6" i="16"/>
  <c r="D6" i="17"/>
  <c r="D6" i="18"/>
  <c r="D6" i="22"/>
  <c r="D6" i="23"/>
  <c r="D7" i="25"/>
  <c r="D8" i="26"/>
  <c r="D7"/>
  <c r="D6"/>
  <c r="D4"/>
  <c r="D29" i="24"/>
  <c r="D20"/>
  <c r="D15"/>
  <c r="D40"/>
  <c r="D24"/>
  <c r="D22" i="26"/>
  <c r="D27"/>
  <c r="D42"/>
  <c r="D17"/>
  <c r="D12"/>
  <c r="D30"/>
  <c r="D23" i="25"/>
  <c r="D40"/>
  <c r="D27"/>
  <c r="D18"/>
  <c r="D12"/>
  <c r="D10" s="1"/>
  <c r="D37" i="23"/>
  <c r="D27"/>
  <c r="D22"/>
  <c r="D17"/>
  <c r="D11"/>
  <c r="D44" i="22"/>
  <c r="D30"/>
  <c r="D21"/>
  <c r="D28"/>
  <c r="D27"/>
  <c r="D26"/>
  <c r="D16"/>
  <c r="D11"/>
  <c r="D11" i="24"/>
  <c r="D10"/>
  <c r="D9" s="1"/>
  <c r="D22" i="18"/>
  <c r="D17"/>
  <c r="D9"/>
  <c r="D11"/>
  <c r="D26" i="17"/>
  <c r="D24"/>
  <c r="D22"/>
  <c r="D17"/>
  <c r="D9"/>
  <c r="D11"/>
  <c r="D39" i="16"/>
  <c r="D23"/>
  <c r="D17"/>
  <c r="D11"/>
  <c r="E11" i="14"/>
  <c r="E21"/>
  <c r="E27"/>
  <c r="E38"/>
  <c r="E17"/>
  <c r="D20" i="12"/>
  <c r="D17"/>
  <c r="D11"/>
  <c r="D40" i="11"/>
  <c r="D24"/>
  <c r="D18"/>
  <c r="D12"/>
  <c r="D10" s="1"/>
  <c r="D23" i="20"/>
  <c r="D18"/>
  <c r="D11"/>
  <c r="D9" s="1"/>
  <c r="D22" i="19"/>
  <c r="D11"/>
  <c r="D9" s="1"/>
  <c r="D17"/>
  <c r="D19" i="28"/>
  <c r="D25"/>
  <c r="D15"/>
  <c r="D11"/>
  <c r="D9" s="1"/>
  <c r="D25" i="29"/>
  <c r="D11"/>
  <c r="D43" i="1"/>
  <c r="D23"/>
  <c r="D18"/>
  <c r="D13"/>
  <c r="D28" i="5"/>
  <c r="D22"/>
  <c r="D17"/>
  <c r="D11"/>
  <c r="D35" i="7"/>
  <c r="D21"/>
  <c r="D16"/>
  <c r="D11"/>
  <c r="D38" i="8"/>
  <c r="D31" s="1"/>
  <c r="D21"/>
  <c r="D16"/>
  <c r="D11"/>
  <c r="D9" s="1"/>
  <c r="D15" i="10"/>
  <c r="D19"/>
  <c r="D9"/>
  <c r="D11"/>
  <c r="D28" i="27"/>
  <c r="D20"/>
  <c r="D23"/>
  <c r="D15"/>
  <c r="D9"/>
  <c r="D39"/>
  <c r="D25"/>
  <c r="D11"/>
  <c r="D6"/>
  <c r="D5"/>
  <c r="D5" i="21"/>
  <c r="D3"/>
  <c r="D6" s="1"/>
  <c r="D15"/>
  <c r="D19"/>
  <c r="D27"/>
  <c r="D40"/>
  <c r="D38"/>
  <c r="D24" l="1"/>
  <c r="D11"/>
  <c r="D28" i="29"/>
  <c r="D9"/>
  <c r="D7"/>
  <c r="D33" i="28"/>
  <c r="D7"/>
  <c r="D46" i="27"/>
  <c r="D7"/>
  <c r="D30" i="1"/>
  <c r="D9" i="22"/>
  <c r="D35" i="26"/>
  <c r="D33" i="25"/>
  <c r="D35" i="24"/>
  <c r="D30" i="23"/>
  <c r="D37" i="22"/>
  <c r="D33" i="21"/>
  <c r="D31" i="18"/>
  <c r="D30" i="12"/>
  <c r="D33" i="11"/>
  <c r="D33" i="20"/>
  <c r="D31" i="19"/>
  <c r="D30" i="17"/>
  <c r="D9" i="16"/>
  <c r="D32"/>
  <c r="E31" i="14"/>
  <c r="D28" i="10"/>
  <c r="D36" i="1"/>
  <c r="D28" i="7"/>
  <c r="D36" i="5"/>
  <c r="D8" i="25"/>
  <c r="D7" i="24"/>
  <c r="D7" i="23"/>
  <c r="D7" i="22"/>
  <c r="D7" i="21"/>
  <c r="D7" i="20"/>
  <c r="D7" i="19"/>
  <c r="D7" i="18"/>
  <c r="D7" i="17"/>
  <c r="D7" i="16"/>
  <c r="E7" i="14"/>
  <c r="D7" i="12"/>
  <c r="D8" i="11"/>
  <c r="D7" i="10"/>
  <c r="D7" i="8"/>
  <c r="D7" i="7"/>
  <c r="D7" i="5"/>
  <c r="D7" i="1"/>
  <c r="D31" i="24"/>
  <c r="D11" i="1"/>
  <c r="D47" s="1"/>
  <c r="E9" i="14"/>
  <c r="D9" i="12"/>
  <c r="D9" i="23"/>
  <c r="D10" i="26"/>
  <c r="D9" i="21"/>
  <c r="D9" i="5"/>
  <c r="D39" i="29" l="1"/>
  <c r="D46" i="26"/>
  <c r="D44" i="25"/>
  <c r="D46" i="24"/>
  <c r="D41" i="23"/>
  <c r="D42" i="18"/>
  <c r="D41" i="17"/>
  <c r="D43" i="16"/>
  <c r="E42" i="14"/>
  <c r="D41" i="12"/>
  <c r="D42" i="19"/>
  <c r="D44" i="20"/>
  <c r="D44" i="28"/>
  <c r="D47" i="5"/>
  <c r="D39" i="10"/>
  <c r="D57" i="27"/>
  <c r="D44" i="21"/>
  <c r="D39" i="7"/>
  <c r="D42" i="8"/>
  <c r="D44" i="11"/>
  <c r="D31" i="22"/>
  <c r="D48" s="1"/>
</calcChain>
</file>

<file path=xl/sharedStrings.xml><?xml version="1.0" encoding="utf-8"?>
<sst xmlns="http://schemas.openxmlformats.org/spreadsheetml/2006/main" count="999" uniqueCount="180">
  <si>
    <t>Почтовые услуги</t>
  </si>
  <si>
    <t>Юридические услуги</t>
  </si>
  <si>
    <t>Заработная плата сотрудников</t>
  </si>
  <si>
    <t>Налоги с з/пл</t>
  </si>
  <si>
    <t>Услуги по вывозу ТБО</t>
  </si>
  <si>
    <t>Сантехнические материалы</t>
  </si>
  <si>
    <t>Заработная плата специалистов,занятых на техн экспл. дома</t>
  </si>
  <si>
    <t xml:space="preserve"> Налоги с з/пл</t>
  </si>
  <si>
    <t>Уборка придомовой и внутридомовой территории :</t>
  </si>
  <si>
    <t>Материалы (быт. химия, инвентарь)</t>
  </si>
  <si>
    <t>Материальные расходы (канцтовары,организ раб мест)</t>
  </si>
  <si>
    <t>Сервисные, информац услуги</t>
  </si>
  <si>
    <t>Услуги тел связи</t>
  </si>
  <si>
    <t>Транспортные расходы</t>
  </si>
  <si>
    <t>Расходы по текущему ремонту дома:</t>
  </si>
  <si>
    <t>Материалы  для МОП,общестроит работ  и техн экспл.дома</t>
  </si>
  <si>
    <t>Страхование лифтов</t>
  </si>
  <si>
    <t>Затраты диспетчерской,аварийной служб</t>
  </si>
  <si>
    <t>Уборка придомовой    и внутридомовой территории :</t>
  </si>
  <si>
    <t>Затраты аварийной, диспетчерской служб</t>
  </si>
  <si>
    <t>Затраты аварийной,диспетчерской служб</t>
  </si>
  <si>
    <t>Техническое обслуживание газовых сетей</t>
  </si>
  <si>
    <t>Расходы по содержанию и эксплуатации лифтов:</t>
  </si>
  <si>
    <t>руб.</t>
  </si>
  <si>
    <t>Расходы на управленческие услуги и обслуживание:</t>
  </si>
  <si>
    <t>Заработная плата: админ. аппарат,бухгалтерия,расчетная группа,паспорт.стол</t>
  </si>
  <si>
    <t>Содержание помещения (аренда,коммун. услуги)</t>
  </si>
  <si>
    <t>ИТОГО РАСХОДЫ:</t>
  </si>
  <si>
    <t xml:space="preserve">Оплачено </t>
  </si>
  <si>
    <t>Оплачено</t>
  </si>
  <si>
    <t>Расходы по обеспечению матер.-техн. базы УК</t>
  </si>
  <si>
    <t>Расходы на управленческие услуги и обслуживание</t>
  </si>
  <si>
    <t>Основные средства (инструмент, инвентарь для специалистов и прочее)</t>
  </si>
  <si>
    <t>Расходы по ремонту основных средств</t>
  </si>
  <si>
    <t>Расходы на содержание и эксплуатацию лифтов</t>
  </si>
  <si>
    <t xml:space="preserve">       Оплачено</t>
  </si>
  <si>
    <t>Основные средства (инструмент,  инвентарь для специалистов и прочее)</t>
  </si>
  <si>
    <t>Техническое обслуживание пожарной сигнализации</t>
  </si>
  <si>
    <t>Затраты диспетчерской, аварийной служб</t>
  </si>
  <si>
    <t xml:space="preserve">Транспортные расходы </t>
  </si>
  <si>
    <t>Услуги спецтехники (уборка снега)</t>
  </si>
  <si>
    <t>Материалы для кровельных работ</t>
  </si>
  <si>
    <t>Обучение, профессиональная подготовка, аттестация сотрудников</t>
  </si>
  <si>
    <t>Доходы по статье "содержание  помещения"</t>
  </si>
  <si>
    <t>Расходы по статье "содержание помещения"</t>
  </si>
  <si>
    <t>ПОЛУЧЕННЫЕ ДОХОДЫ:</t>
  </si>
  <si>
    <t xml:space="preserve">       Начислено к оплате</t>
  </si>
  <si>
    <t>Техническое обслуживание лифтов</t>
  </si>
  <si>
    <t>Начислено к оплате</t>
  </si>
  <si>
    <t xml:space="preserve">Начислено к оплате </t>
  </si>
  <si>
    <t>Поверка общедомовых приборов учета</t>
  </si>
  <si>
    <t>Доходы по статье "содержание помещения"</t>
  </si>
  <si>
    <t xml:space="preserve"> Доходы по статье "содержание  помещения"</t>
  </si>
  <si>
    <t xml:space="preserve">       Начислено к оплате </t>
  </si>
  <si>
    <t>Расходы по статье "содержани помещения"</t>
  </si>
  <si>
    <t>Прочие услуги (изготовл ключей,доставка матер.,  и др.)</t>
  </si>
  <si>
    <t>Техническое освидетельствование лифтов</t>
  </si>
  <si>
    <t>Подсыпка земли (клумбы)</t>
  </si>
  <si>
    <t>Задолженность на 01.01.2017 год</t>
  </si>
  <si>
    <t>Задолженность на 31.12.2017 год</t>
  </si>
  <si>
    <t xml:space="preserve">  Доходы по статье "содержание  помещения"</t>
  </si>
  <si>
    <t>Техобслуживание дымовых и вентиляционных каналов</t>
  </si>
  <si>
    <t>Услуги банка, услуги РИРЦ,РКО</t>
  </si>
  <si>
    <t>Расходы на содержание и эксплуатацию котельной</t>
  </si>
  <si>
    <t>Услуги по аварийно-спасательному реагированию в ЧС</t>
  </si>
  <si>
    <t>Услуги аварийно-диспетчерской связи</t>
  </si>
  <si>
    <t>Кадастровые работы (работы по договорам подряда)</t>
  </si>
  <si>
    <t>Аварийная чистка внутридомовой канализации (работы по договорам подряда)</t>
  </si>
  <si>
    <t>Обучение, профессиональная подготовка, аттестация сотрудников по правилам эксплуатации</t>
  </si>
  <si>
    <t>Техобследование электроустановок, лаборат испытания молниезащиты</t>
  </si>
  <si>
    <t>Задолженность на 01.01.2017 г.</t>
  </si>
  <si>
    <t>Задолженность на 31.12.2017 г.</t>
  </si>
  <si>
    <t>Услуги по вывозу мусора (вывоз веток, листьев и т.п.)</t>
  </si>
  <si>
    <t>Благоустройство внутридворовой территории-подсыпка земли (работы по договорам подряда)</t>
  </si>
  <si>
    <t>Ремонт балконной плиты (работы по договорам подряда)</t>
  </si>
  <si>
    <t>Работы по дератизации и дезинсекции (работы по договорам подряда)</t>
  </si>
  <si>
    <t>Работы по валке деревьев (работы по договорам подряда)</t>
  </si>
  <si>
    <t xml:space="preserve">       Задолженность на 01.01.2017 год</t>
  </si>
  <si>
    <t xml:space="preserve">       Задолженность на 31.12.2017 год</t>
  </si>
  <si>
    <t>Поверка общедомовых счетчиков</t>
  </si>
  <si>
    <t>Задолженность на 31.12.2017год</t>
  </si>
  <si>
    <t>Техническое обследование электроустановок</t>
  </si>
  <si>
    <t>Техобследование электроустановок (работы по договорам подряда)</t>
  </si>
  <si>
    <t>Установка отливов на козырек балконов (работы по договорам подряда)</t>
  </si>
  <si>
    <t>Работы по благоустройству-подсыпка земли (работы по договорам подряда)</t>
  </si>
  <si>
    <t>Материалы для кровельных работы</t>
  </si>
  <si>
    <t>Аварийная чистка внутридомовой канализации</t>
  </si>
  <si>
    <t>Герметизация межпанельных швов дома (работы по договорам подряда)</t>
  </si>
  <si>
    <t>Сведения о доходах и расходах на оказание услуг по управлению д.1А по ул.Романа Брянского в 2017г.</t>
  </si>
  <si>
    <t xml:space="preserve">       Задолженность на 31.12.2017год</t>
  </si>
  <si>
    <t>Ремонт подъездов №3, №4 (работы по договорам подряда)</t>
  </si>
  <si>
    <t>Работы по герметизации межпанельных швов дома (работы по договорам подряда)</t>
  </si>
  <si>
    <t>Ремонт плиты балконных козырьков (работы по договорам подряда)</t>
  </si>
  <si>
    <t>Работы по заделке стыков и герметизации межпанельных швов дома (работы по договорам подряда)</t>
  </si>
  <si>
    <t>Ремонт крыши из металлочерепицы (работы по договорам подряда)</t>
  </si>
  <si>
    <t>Ремонт подъезда №2 (работы по договорам подряда)</t>
  </si>
  <si>
    <t>Общеэксплутационные расходы (работы по договорам подряда)</t>
  </si>
  <si>
    <t>ИТОГО ДОХОДЫ</t>
  </si>
  <si>
    <t>ИТОГО РАСХОДЫ</t>
  </si>
  <si>
    <t>Налоги с заработной платы</t>
  </si>
  <si>
    <t xml:space="preserve"> Налоги с заработной платы</t>
  </si>
  <si>
    <t>Содержание помещения (аренда, коммунальные услуги)</t>
  </si>
  <si>
    <t>Материальные расходы (канцтовары, организация рабочих мест)</t>
  </si>
  <si>
    <t>Сервисные, информационные услуги</t>
  </si>
  <si>
    <t>Услуги банка, услуги РИРЦ, РКО</t>
  </si>
  <si>
    <t>Материалы (бытовая химия, инвентарь)</t>
  </si>
  <si>
    <t>Прочие услуги (изготовл ключей, доставка материалов и прочее)</t>
  </si>
  <si>
    <t>Материальные расходы (канцтовары,организация рабочих мест)</t>
  </si>
  <si>
    <t>Содержание помещения (аренда, коммуные услуги)</t>
  </si>
  <si>
    <t>Услуги телефонной связи</t>
  </si>
  <si>
    <t>Прочие услуги (изготовление ключей, доставка материалов и прочее)</t>
  </si>
  <si>
    <t>Налоги с заработоной платы</t>
  </si>
  <si>
    <t>Материалы  для МОП и технической эксплуатации дома</t>
  </si>
  <si>
    <t>Заработная плата специалистов, занятых на технической  эксплуатации дома</t>
  </si>
  <si>
    <t>Прочие услуги (изготовл ключей, доставка материалов  и др.)</t>
  </si>
  <si>
    <t>Материалы (бытовая  химия, инвентарь)</t>
  </si>
  <si>
    <t>Материалы  для МОП, общестроительных работ  и технической эксплуатации дома</t>
  </si>
  <si>
    <t>Заработная плата специалистов, занятых на технической эксплуатации дома</t>
  </si>
  <si>
    <t>Материальные расходы (канцтовары, организация  рабочих мест)</t>
  </si>
  <si>
    <t>Прочие услуги (изготовление ключей, доставка материалов, и прочее)</t>
  </si>
  <si>
    <t>Услуги по вывозу мусора (вывоз мусора, листьев и т.п.)</t>
  </si>
  <si>
    <t>Материалы  для МОП и технической  эксплуатации дома</t>
  </si>
  <si>
    <t>Материалы  для МОП, общестроительных работ и технической эксплуатации дома</t>
  </si>
  <si>
    <t>Прочие услуги (изготовление ключей, доставка материалов и др.)</t>
  </si>
  <si>
    <t>Услуги по вывозу мусора (вывоз веток, листьев т.п.)</t>
  </si>
  <si>
    <t>Прочие услуги (изготовление ключей, доставка материалов  и др.)</t>
  </si>
  <si>
    <t>Материалы для МОП, общестроительных работ  и технической эксплуатации дома</t>
  </si>
  <si>
    <t>Налоги с зараьотной платы</t>
  </si>
  <si>
    <t>Услуги автовышки</t>
  </si>
  <si>
    <t>Благоустройство внутридворовой территории-подсыпка земли и прочее (работы по договорам подряда)</t>
  </si>
  <si>
    <t>Услуги телефоной связи</t>
  </si>
  <si>
    <t>Уборка придомовой  и внутридомовой территории :</t>
  </si>
  <si>
    <t>Заработная плата специалистов,занятых на технической эксплуатации дома</t>
  </si>
  <si>
    <t>Услуги спецтехники (автовышка)</t>
  </si>
  <si>
    <t>Установка (замена) насоса циркуляционного ГВС</t>
  </si>
  <si>
    <t>Вывоз мусора (вывоз веток, листьев и т.п.)</t>
  </si>
  <si>
    <t>Материалы  для МОП, общестроительных работ  и технической  эксплуатации дома</t>
  </si>
  <si>
    <t xml:space="preserve"> Отчет о выполнении договора управления многоквартирным домом №95                                                                                                            по ул.Советская за 2017 г.</t>
  </si>
  <si>
    <t>Расходы по обеспечению материольно-технической базы УК</t>
  </si>
  <si>
    <t>Заработная плата: административный аппарат, бухгалтерия, расчетная группа, паспортный стол</t>
  </si>
  <si>
    <t>Ремонтные работы - покраска дверей шахты лифта (работы по договорам подряда)</t>
  </si>
  <si>
    <t>Расходы по обеспечению материально - технической  базы УК</t>
  </si>
  <si>
    <t>Расходы по обеспечению материально - технической базы УК</t>
  </si>
  <si>
    <t>Уборка придомовой и  внутридомовой территории :</t>
  </si>
  <si>
    <t>Расходы по обеспечению материальнно - технической базы УК</t>
  </si>
  <si>
    <t xml:space="preserve"> Отчет о выполнении договора управления многоквартирным домом №13 А                                                                                                  по проспекту Станке-Димитрова за 2017 г.</t>
  </si>
  <si>
    <t xml:space="preserve"> Отчет о выполнении договора управления многоквартирным домом №19                                                                                                         по ул. Горбатова за 2017г. </t>
  </si>
  <si>
    <t xml:space="preserve">   Отчет о выполнении договора управления многоквартирным домом №21                                                                        по ул. Костычева за 2017г.</t>
  </si>
  <si>
    <t xml:space="preserve">Отчет о выполнении договора управления многоквартирным домом №21                                                                       по ул. Горбатова за 2017г. </t>
  </si>
  <si>
    <t>Отчет о выполнении договора управления многоквартирным домом №25                                                                                    по ул. Костычева за 2017г.</t>
  </si>
  <si>
    <t>Отчет о выполнении договора управления многоквартирным домом №27А                                                                                              по ул. Костычева за 2017г.</t>
  </si>
  <si>
    <t>Прочие услуги (изготовление ключей, доставка материалов, и др.)</t>
  </si>
  <si>
    <t>Техническое обследование дымовых и вентиляционных каналов (работы по договорам подряда)</t>
  </si>
  <si>
    <t>Ремонт подъездов №1, №3  (работы по договорам подряда)</t>
  </si>
  <si>
    <t>Отчет о выполнении договора управления многоквартирным домом №27                                                                                            по ул. Костычева за 2017г.</t>
  </si>
  <si>
    <t>Техническое обследование вентиляционных и дымовых каналов (работы по договорам подряда)</t>
  </si>
  <si>
    <t>Отчет о выполнении договора управления многоквартирным домом №47                                                                                                по ул. Костычева за 2017г.</t>
  </si>
  <si>
    <t>Отчет о выполнении договора управления многоквартрным домом №49                                                                                                         по ул. Костычева за 2017г.</t>
  </si>
  <si>
    <t>Отчет о выполнении договора управления многоквартрным домом №162                                                                                                  по ул. Красноармейской за 2017г.</t>
  </si>
  <si>
    <t>Отчет о выполнении договора управления многоквартрным домом №172                                                                                            по ул. Красноармейской за 2017г.</t>
  </si>
  <si>
    <t>Отчет о выполнении договора управления многоквартирным домом №8                                                                                                                 по  ул.Авиационная за 2017г.</t>
  </si>
  <si>
    <t>Отчет о выполнении договора управления многоквартирным домом №45                                                                                                  по  ул.Костычева в 2017г.</t>
  </si>
  <si>
    <t>Отчет о выполнении договора управления многоквартирным домом №7                                                                                                                                         по ул.Рославльская в 2017г.</t>
  </si>
  <si>
    <t>Заработная плата: административный аппарат, бухгалтерия, расчетная группа</t>
  </si>
  <si>
    <t>Отчет о выполнении договора управления многоквартирным домом №43                                                                                                     по  ул.Костычева за 2017г</t>
  </si>
  <si>
    <t>Затраты аварийной, диспетческой служб</t>
  </si>
  <si>
    <t>Отчет о выполнении договора управления многоквартирным домом №64                                                                                                               по ул.Костычева за 2017г.</t>
  </si>
  <si>
    <t>Отчет о выполнении договора управления многоквартирным домом №70                                                                                                              по ул.Костычева за 2017г.</t>
  </si>
  <si>
    <t>Ремонт и окраска цоколя здания (работы по договорам подряда)</t>
  </si>
  <si>
    <t>Отчет о выполнении договора управления многоквартрным домом №31                                                                                                 по ул.Крахмалева за 2017г.</t>
  </si>
  <si>
    <t>Отчет о выполнении договора управления многоквартирным домом №9                                                                                                    по  ул.Крахмалева за 2017г.</t>
  </si>
  <si>
    <t>Благоустройство внутридворовой территории:</t>
  </si>
  <si>
    <t>●   асфальтирование,  установка бордюров, устройство пандусов (работы по договорам подряда)</t>
  </si>
  <si>
    <t>Отчет о выполнении договора управления многоквартирным домом №31А                                                                                       по ул. Костычева за 2017г.</t>
  </si>
  <si>
    <t>●   установка лавки (работа по договорам подряда)</t>
  </si>
  <si>
    <t>Замена привода дроссельной заслонки котла</t>
  </si>
  <si>
    <t>● демонтаж и укладка напольной керамической плитки (работы по договорам подряда)</t>
  </si>
  <si>
    <t>Ремонт холлов 1-х этажей подъездов №1, №2, №3:</t>
  </si>
  <si>
    <t>Ремонт цоколя - отштукатуривание (работы по договорам подряда)</t>
  </si>
  <si>
    <t>● шпаклевание и окрашивание стен  (работы по договорам подряда)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</si>
</sst>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3F2F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</font>
    <font>
      <sz val="12"/>
      <color theme="1"/>
      <name val="Georgia"/>
      <family val="1"/>
      <charset val="204"/>
    </font>
    <font>
      <b/>
      <sz val="12"/>
      <color theme="1"/>
      <name val="Georg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3"/>
      <color rgb="FF003F2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Calibri"/>
      <family val="2"/>
      <charset val="204"/>
    </font>
    <font>
      <b/>
      <sz val="13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ACC8BD"/>
      </top>
      <bottom style="thin">
        <color rgb="FFACC8BD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ACC8BD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CC8BD"/>
      </left>
      <right/>
      <top/>
      <bottom/>
      <diagonal/>
    </border>
    <border>
      <left style="medium">
        <color indexed="64"/>
      </left>
      <right style="thin">
        <color rgb="FFACC8BD"/>
      </right>
      <top style="medium">
        <color indexed="64"/>
      </top>
      <bottom/>
      <diagonal/>
    </border>
    <border>
      <left style="thin">
        <color rgb="FFACC8BD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ACC8BD"/>
      </left>
      <right/>
      <top/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4" fontId="0" fillId="0" borderId="0" xfId="0" applyNumberFormat="1"/>
    <xf numFmtId="4" fontId="0" fillId="0" borderId="0" xfId="0" applyNumberFormat="1" applyFont="1" applyBorder="1"/>
    <xf numFmtId="4" fontId="1" fillId="0" borderId="0" xfId="0" applyNumberFormat="1" applyFont="1" applyBorder="1"/>
    <xf numFmtId="0" fontId="6" fillId="0" borderId="0" xfId="0" applyFont="1"/>
    <xf numFmtId="4" fontId="0" fillId="0" borderId="0" xfId="0" applyNumberFormat="1" applyBorder="1"/>
    <xf numFmtId="0" fontId="5" fillId="0" borderId="0" xfId="0" applyFont="1" applyAlignment="1">
      <alignment horizontal="left" wrapText="1"/>
    </xf>
    <xf numFmtId="4" fontId="2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/>
    <xf numFmtId="0" fontId="0" fillId="2" borderId="0" xfId="0" applyFill="1"/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2" borderId="0" xfId="0" applyFont="1" applyFill="1" applyAlignment="1">
      <alignment horizontal="left" vertical="top"/>
    </xf>
    <xf numFmtId="4" fontId="16" fillId="0" borderId="12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4" fontId="1" fillId="0" borderId="0" xfId="0" applyNumberFormat="1" applyFont="1" applyBorder="1" applyAlignment="1"/>
    <xf numFmtId="2" fontId="0" fillId="0" borderId="0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6" fillId="0" borderId="0" xfId="0" applyFont="1" applyBorder="1"/>
    <xf numFmtId="4" fontId="19" fillId="0" borderId="12" xfId="0" applyNumberFormat="1" applyFont="1" applyFill="1" applyBorder="1" applyAlignment="1">
      <alignment horizontal="center" vertical="top" wrapText="1"/>
    </xf>
    <xf numFmtId="4" fontId="18" fillId="0" borderId="12" xfId="0" applyNumberFormat="1" applyFont="1" applyFill="1" applyBorder="1" applyAlignment="1">
      <alignment horizontal="center" vertical="top" wrapText="1"/>
    </xf>
    <xf numFmtId="4" fontId="20" fillId="0" borderId="30" xfId="0" applyNumberFormat="1" applyFont="1" applyFill="1" applyBorder="1" applyAlignment="1">
      <alignment horizontal="right" vertical="top" wrapText="1"/>
    </xf>
    <xf numFmtId="4" fontId="21" fillId="0" borderId="18" xfId="0" applyNumberFormat="1" applyFont="1" applyFill="1" applyBorder="1" applyAlignment="1">
      <alignment horizontal="right" vertical="top" wrapText="1"/>
    </xf>
    <xf numFmtId="4" fontId="20" fillId="0" borderId="12" xfId="0" applyNumberFormat="1" applyFont="1" applyFill="1" applyBorder="1" applyAlignment="1">
      <alignment horizontal="right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" fontId="20" fillId="0" borderId="1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0" fontId="24" fillId="0" borderId="3" xfId="0" applyFont="1" applyBorder="1" applyAlignment="1">
      <alignment horizontal="center"/>
    </xf>
    <xf numFmtId="4" fontId="22" fillId="0" borderId="21" xfId="0" applyNumberFormat="1" applyFont="1" applyBorder="1"/>
    <xf numFmtId="4" fontId="22" fillId="0" borderId="9" xfId="0" applyNumberFormat="1" applyFont="1" applyBorder="1"/>
    <xf numFmtId="4" fontId="20" fillId="0" borderId="16" xfId="0" applyNumberFormat="1" applyFont="1" applyFill="1" applyBorder="1" applyAlignment="1">
      <alignment horizontal="right" vertical="top" wrapText="1"/>
    </xf>
    <xf numFmtId="4" fontId="20" fillId="0" borderId="18" xfId="0" applyNumberFormat="1" applyFont="1" applyFill="1" applyBorder="1" applyAlignment="1">
      <alignment horizontal="right" vertical="top" wrapText="1"/>
    </xf>
    <xf numFmtId="4" fontId="13" fillId="0" borderId="3" xfId="0" applyNumberFormat="1" applyFont="1" applyBorder="1"/>
    <xf numFmtId="0" fontId="17" fillId="0" borderId="3" xfId="0" applyFont="1" applyBorder="1" applyAlignment="1">
      <alignment horizontal="center"/>
    </xf>
    <xf numFmtId="4" fontId="25" fillId="0" borderId="3" xfId="0" applyNumberFormat="1" applyFont="1" applyFill="1" applyBorder="1" applyAlignment="1">
      <alignment horizontal="center" vertical="top" wrapText="1"/>
    </xf>
    <xf numFmtId="4" fontId="20" fillId="0" borderId="32" xfId="0" applyNumberFormat="1" applyFont="1" applyFill="1" applyBorder="1" applyAlignment="1">
      <alignment horizontal="right" vertical="top" wrapText="1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center"/>
    </xf>
    <xf numFmtId="4" fontId="25" fillId="0" borderId="12" xfId="0" applyNumberFormat="1" applyFont="1" applyFill="1" applyBorder="1" applyAlignment="1">
      <alignment horizontal="center" vertical="top" wrapText="1"/>
    </xf>
    <xf numFmtId="4" fontId="20" fillId="0" borderId="32" xfId="0" applyNumberFormat="1" applyFont="1" applyFill="1" applyBorder="1" applyAlignment="1">
      <alignment horizontal="right" vertical="top" wrapText="1" indent="2"/>
    </xf>
    <xf numFmtId="4" fontId="21" fillId="0" borderId="18" xfId="0" applyNumberFormat="1" applyFont="1" applyFill="1" applyBorder="1" applyAlignment="1">
      <alignment horizontal="right" vertical="top" wrapText="1" indent="2"/>
    </xf>
    <xf numFmtId="4" fontId="20" fillId="0" borderId="12" xfId="0" applyNumberFormat="1" applyFont="1" applyFill="1" applyBorder="1" applyAlignment="1">
      <alignment horizontal="right" vertical="top" wrapText="1" indent="2"/>
    </xf>
    <xf numFmtId="4" fontId="21" fillId="0" borderId="25" xfId="0" applyNumberFormat="1" applyFont="1" applyFill="1" applyBorder="1" applyAlignment="1">
      <alignment horizontal="right" vertical="top" wrapText="1" indent="2"/>
    </xf>
    <xf numFmtId="0" fontId="0" fillId="0" borderId="0" xfId="0" applyAlignment="1">
      <alignment horizontal="left" indent="2"/>
    </xf>
    <xf numFmtId="4" fontId="22" fillId="0" borderId="9" xfId="0" applyNumberFormat="1" applyFont="1" applyBorder="1" applyAlignment="1">
      <alignment horizontal="right" indent="2"/>
    </xf>
    <xf numFmtId="4" fontId="22" fillId="0" borderId="10" xfId="0" applyNumberFormat="1" applyFont="1" applyBorder="1" applyAlignment="1">
      <alignment horizontal="right" indent="2"/>
    </xf>
    <xf numFmtId="0" fontId="17" fillId="0" borderId="21" xfId="0" applyFont="1" applyBorder="1" applyAlignment="1">
      <alignment horizontal="center"/>
    </xf>
    <xf numFmtId="4" fontId="21" fillId="0" borderId="43" xfId="0" applyNumberFormat="1" applyFont="1" applyFill="1" applyBorder="1" applyAlignment="1">
      <alignment horizontal="right" vertical="top" wrapText="1"/>
    </xf>
    <xf numFmtId="4" fontId="21" fillId="0" borderId="9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/>
    <xf numFmtId="0" fontId="0" fillId="3" borderId="0" xfId="0" applyFill="1"/>
    <xf numFmtId="0" fontId="5" fillId="0" borderId="0" xfId="0" applyFont="1" applyFill="1" applyAlignment="1">
      <alignment horizontal="left" wrapText="1"/>
    </xf>
    <xf numFmtId="0" fontId="0" fillId="0" borderId="0" xfId="0" applyFill="1"/>
    <xf numFmtId="4" fontId="0" fillId="0" borderId="0" xfId="0" applyNumberFormat="1" applyFill="1"/>
    <xf numFmtId="4" fontId="21" fillId="0" borderId="35" xfId="0" applyNumberFormat="1" applyFont="1" applyFill="1" applyBorder="1" applyAlignment="1">
      <alignment horizontal="right" vertical="top" wrapText="1"/>
    </xf>
    <xf numFmtId="4" fontId="21" fillId="0" borderId="2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/>
    <xf numFmtId="4" fontId="21" fillId="0" borderId="41" xfId="0" applyNumberFormat="1" applyFont="1" applyFill="1" applyBorder="1" applyAlignment="1">
      <alignment horizontal="right" vertical="top" wrapText="1"/>
    </xf>
    <xf numFmtId="4" fontId="21" fillId="0" borderId="42" xfId="0" applyNumberFormat="1" applyFont="1" applyFill="1" applyBorder="1" applyAlignment="1">
      <alignment horizontal="right" vertical="top" wrapText="1"/>
    </xf>
    <xf numFmtId="4" fontId="20" fillId="0" borderId="37" xfId="0" applyNumberFormat="1" applyFont="1" applyFill="1" applyBorder="1" applyAlignment="1">
      <alignment horizontal="right" vertical="top" wrapText="1"/>
    </xf>
    <xf numFmtId="2" fontId="0" fillId="0" borderId="0" xfId="0" applyNumberFormat="1" applyFill="1"/>
    <xf numFmtId="4" fontId="0" fillId="0" borderId="0" xfId="0" applyNumberFormat="1" applyFont="1" applyFill="1" applyBorder="1"/>
    <xf numFmtId="2" fontId="0" fillId="0" borderId="0" xfId="0" applyNumberFormat="1" applyFont="1" applyFill="1" applyBorder="1"/>
    <xf numFmtId="4" fontId="21" fillId="0" borderId="1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Alignment="1">
      <alignment horizontal="left" wrapText="1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 indent="2"/>
    </xf>
    <xf numFmtId="4" fontId="21" fillId="0" borderId="35" xfId="0" applyNumberFormat="1" applyFont="1" applyFill="1" applyBorder="1" applyAlignment="1">
      <alignment horizontal="right" vertical="top" wrapText="1" indent="2"/>
    </xf>
    <xf numFmtId="4" fontId="21" fillId="0" borderId="20" xfId="0" applyNumberFormat="1" applyFont="1" applyFill="1" applyBorder="1" applyAlignment="1">
      <alignment horizontal="right" vertical="top" wrapText="1" indent="2"/>
    </xf>
    <xf numFmtId="4" fontId="0" fillId="0" borderId="0" xfId="0" applyNumberFormat="1" applyFill="1" applyAlignment="1">
      <alignment horizontal="left" indent="2"/>
    </xf>
    <xf numFmtId="4" fontId="20" fillId="0" borderId="3" xfId="0" applyNumberFormat="1" applyFont="1" applyFill="1" applyBorder="1" applyAlignment="1">
      <alignment horizontal="right" vertical="top" wrapText="1" indent="2"/>
    </xf>
    <xf numFmtId="0" fontId="11" fillId="0" borderId="0" xfId="0" applyFont="1" applyFill="1" applyBorder="1"/>
    <xf numFmtId="0" fontId="6" fillId="0" borderId="0" xfId="0" applyFont="1" applyFill="1"/>
    <xf numFmtId="4" fontId="21" fillId="0" borderId="21" xfId="0" applyNumberFormat="1" applyFont="1" applyFill="1" applyBorder="1" applyAlignment="1">
      <alignment horizontal="right" vertical="top" wrapText="1"/>
    </xf>
    <xf numFmtId="4" fontId="11" fillId="0" borderId="0" xfId="0" applyNumberFormat="1" applyFont="1" applyFill="1" applyBorder="1"/>
    <xf numFmtId="0" fontId="24" fillId="0" borderId="10" xfId="0" applyFont="1" applyBorder="1" applyAlignment="1">
      <alignment horizontal="center"/>
    </xf>
    <xf numFmtId="0" fontId="22" fillId="0" borderId="17" xfId="0" applyFont="1" applyBorder="1" applyAlignment="1">
      <alignment horizontal="left" indent="2"/>
    </xf>
    <xf numFmtId="0" fontId="22" fillId="0" borderId="18" xfId="0" applyFont="1" applyBorder="1" applyAlignment="1">
      <alignment horizontal="left" indent="2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4" fontId="22" fillId="0" borderId="18" xfId="0" applyNumberFormat="1" applyFont="1" applyBorder="1" applyAlignment="1">
      <alignment horizontal="right"/>
    </xf>
    <xf numFmtId="4" fontId="22" fillId="0" borderId="14" xfId="0" applyNumberFormat="1" applyFont="1" applyFill="1" applyBorder="1" applyAlignment="1">
      <alignment horizontal="right"/>
    </xf>
    <xf numFmtId="0" fontId="17" fillId="0" borderId="9" xfId="0" applyFont="1" applyBorder="1" applyAlignment="1">
      <alignment horizontal="center"/>
    </xf>
    <xf numFmtId="4" fontId="22" fillId="0" borderId="18" xfId="0" applyNumberFormat="1" applyFont="1" applyBorder="1"/>
    <xf numFmtId="4" fontId="22" fillId="0" borderId="14" xfId="0" applyNumberFormat="1" applyFont="1" applyBorder="1"/>
    <xf numFmtId="4" fontId="22" fillId="0" borderId="9" xfId="0" applyNumberFormat="1" applyFont="1" applyFill="1" applyBorder="1"/>
    <xf numFmtId="4" fontId="22" fillId="0" borderId="10" xfId="0" applyNumberFormat="1" applyFont="1" applyFill="1" applyBorder="1"/>
    <xf numFmtId="4" fontId="22" fillId="0" borderId="14" xfId="0" applyNumberFormat="1" applyFont="1" applyBorder="1" applyAlignment="1">
      <alignment horizontal="right"/>
    </xf>
    <xf numFmtId="4" fontId="22" fillId="0" borderId="14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" fontId="13" fillId="0" borderId="0" xfId="0" applyNumberFormat="1" applyFont="1" applyAlignment="1">
      <alignment horizontal="right" wrapText="1"/>
    </xf>
    <xf numFmtId="4" fontId="13" fillId="0" borderId="10" xfId="0" applyNumberFormat="1" applyFont="1" applyFill="1" applyBorder="1"/>
    <xf numFmtId="4" fontId="13" fillId="0" borderId="10" xfId="0" applyNumberFormat="1" applyFont="1" applyFill="1" applyBorder="1" applyAlignment="1">
      <alignment horizontal="right"/>
    </xf>
    <xf numFmtId="4" fontId="15" fillId="0" borderId="10" xfId="0" applyNumberFormat="1" applyFont="1" applyFill="1" applyBorder="1"/>
    <xf numFmtId="4" fontId="20" fillId="0" borderId="30" xfId="0" applyNumberFormat="1" applyFont="1" applyFill="1" applyBorder="1" applyAlignment="1">
      <alignment horizontal="right" vertical="top" wrapText="1" indent="2"/>
    </xf>
    <xf numFmtId="4" fontId="21" fillId="0" borderId="9" xfId="0" applyNumberFormat="1" applyFont="1" applyFill="1" applyBorder="1" applyAlignment="1">
      <alignment horizontal="right" vertical="top" wrapText="1" indent="2"/>
    </xf>
    <xf numFmtId="4" fontId="21" fillId="0" borderId="10" xfId="0" applyNumberFormat="1" applyFont="1" applyFill="1" applyBorder="1" applyAlignment="1">
      <alignment horizontal="right" vertical="top" wrapText="1" indent="2"/>
    </xf>
    <xf numFmtId="4" fontId="13" fillId="0" borderId="2" xfId="0" applyNumberFormat="1" applyFont="1" applyFill="1" applyBorder="1"/>
    <xf numFmtId="2" fontId="20" fillId="0" borderId="30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 vertical="top" wrapText="1" indent="3"/>
    </xf>
    <xf numFmtId="4" fontId="13" fillId="0" borderId="10" xfId="0" applyNumberFormat="1" applyFont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20" fillId="0" borderId="45" xfId="0" applyNumberFormat="1" applyFont="1" applyFill="1" applyBorder="1" applyAlignment="1">
      <alignment horizontal="right" vertical="top" wrapText="1"/>
    </xf>
    <xf numFmtId="0" fontId="24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right"/>
    </xf>
    <xf numFmtId="0" fontId="0" fillId="0" borderId="11" xfId="0" applyBorder="1"/>
    <xf numFmtId="4" fontId="13" fillId="0" borderId="14" xfId="0" applyNumberFormat="1" applyFont="1" applyFill="1" applyBorder="1"/>
    <xf numFmtId="0" fontId="14" fillId="0" borderId="11" xfId="0" applyFont="1" applyBorder="1"/>
    <xf numFmtId="4" fontId="13" fillId="0" borderId="14" xfId="0" applyNumberFormat="1" applyFont="1" applyFill="1" applyBorder="1" applyAlignment="1">
      <alignment horizontal="right"/>
    </xf>
    <xf numFmtId="4" fontId="10" fillId="0" borderId="14" xfId="0" applyNumberFormat="1" applyFont="1" applyFill="1" applyBorder="1"/>
    <xf numFmtId="4" fontId="13" fillId="0" borderId="14" xfId="0" applyNumberFormat="1" applyFont="1" applyBorder="1"/>
    <xf numFmtId="4" fontId="22" fillId="0" borderId="9" xfId="0" applyNumberFormat="1" applyFont="1" applyBorder="1" applyAlignment="1">
      <alignment horizontal="right"/>
    </xf>
    <xf numFmtId="4" fontId="22" fillId="0" borderId="16" xfId="0" applyNumberFormat="1" applyFont="1" applyBorder="1" applyAlignment="1">
      <alignment horizontal="right"/>
    </xf>
    <xf numFmtId="4" fontId="22" fillId="0" borderId="16" xfId="0" applyNumberFormat="1" applyFont="1" applyBorder="1"/>
    <xf numFmtId="4" fontId="22" fillId="0" borderId="21" xfId="0" applyNumberFormat="1" applyFont="1" applyBorder="1" applyAlignment="1">
      <alignment horizontal="right" indent="2"/>
    </xf>
    <xf numFmtId="0" fontId="22" fillId="0" borderId="18" xfId="0" applyFont="1" applyBorder="1" applyAlignment="1">
      <alignment horizontal="left" vertical="top" indent="2"/>
    </xf>
    <xf numFmtId="0" fontId="21" fillId="0" borderId="17" xfId="0" applyFont="1" applyFill="1" applyBorder="1" applyAlignment="1">
      <alignment horizontal="left" vertical="top" indent="2"/>
    </xf>
    <xf numFmtId="0" fontId="21" fillId="0" borderId="17" xfId="0" applyFont="1" applyFill="1" applyBorder="1" applyAlignment="1">
      <alignment horizontal="left" vertical="top" indent="2"/>
    </xf>
    <xf numFmtId="0" fontId="22" fillId="0" borderId="18" xfId="0" applyFont="1" applyBorder="1" applyAlignment="1">
      <alignment horizontal="left" vertical="top" indent="2"/>
    </xf>
    <xf numFmtId="0" fontId="13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6" fillId="0" borderId="0" xfId="0" applyFont="1" applyBorder="1" applyAlignment="1">
      <alignment wrapText="1"/>
    </xf>
    <xf numFmtId="4" fontId="15" fillId="0" borderId="3" xfId="0" applyNumberFormat="1" applyFont="1" applyBorder="1" applyAlignment="1">
      <alignment horizontal="right" wrapText="1"/>
    </xf>
    <xf numFmtId="4" fontId="13" fillId="0" borderId="3" xfId="0" applyNumberFormat="1" applyFont="1" applyFill="1" applyBorder="1" applyAlignment="1">
      <alignment horizontal="right" wrapText="1" indent="2"/>
    </xf>
    <xf numFmtId="4" fontId="13" fillId="0" borderId="3" xfId="0" applyNumberFormat="1" applyFont="1" applyBorder="1" applyAlignment="1">
      <alignment horizontal="right" wrapText="1"/>
    </xf>
    <xf numFmtId="4" fontId="15" fillId="0" borderId="3" xfId="0" applyNumberFormat="1" applyFont="1" applyBorder="1"/>
    <xf numFmtId="4" fontId="13" fillId="0" borderId="3" xfId="0" applyNumberFormat="1" applyFont="1" applyFill="1" applyBorder="1" applyAlignment="1">
      <alignment horizontal="right" wrapText="1"/>
    </xf>
    <xf numFmtId="0" fontId="26" fillId="0" borderId="29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8" fillId="0" borderId="11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left" vertical="top" wrapText="1" indent="2"/>
    </xf>
    <xf numFmtId="0" fontId="21" fillId="0" borderId="18" xfId="0" applyFont="1" applyFill="1" applyBorder="1" applyAlignment="1">
      <alignment horizontal="left" vertical="top" wrapText="1" indent="2"/>
    </xf>
    <xf numFmtId="0" fontId="21" fillId="0" borderId="17" xfId="0" applyNumberFormat="1" applyFont="1" applyFill="1" applyBorder="1" applyAlignment="1">
      <alignment horizontal="left" vertical="top" indent="2"/>
    </xf>
    <xf numFmtId="0" fontId="22" fillId="0" borderId="18" xfId="0" applyFont="1" applyBorder="1" applyAlignment="1">
      <alignment horizontal="left" vertical="top" indent="2"/>
    </xf>
    <xf numFmtId="0" fontId="22" fillId="0" borderId="18" xfId="0" applyFont="1" applyBorder="1" applyAlignment="1">
      <alignment horizontal="left" vertical="top" wrapText="1" indent="2"/>
    </xf>
    <xf numFmtId="0" fontId="20" fillId="0" borderId="19" xfId="0" applyFont="1" applyFill="1" applyBorder="1" applyAlignment="1">
      <alignment horizontal="left" vertical="top" indent="2"/>
    </xf>
    <xf numFmtId="0" fontId="23" fillId="0" borderId="14" xfId="0" applyFont="1" applyBorder="1" applyAlignment="1">
      <alignment horizontal="left" vertical="top" indent="2"/>
    </xf>
    <xf numFmtId="0" fontId="20" fillId="0" borderId="31" xfId="0" applyFont="1" applyFill="1" applyBorder="1" applyAlignment="1">
      <alignment horizontal="left" vertical="top" wrapText="1" indent="2"/>
    </xf>
    <xf numFmtId="0" fontId="20" fillId="0" borderId="32" xfId="0" applyFont="1" applyFill="1" applyBorder="1" applyAlignment="1">
      <alignment horizontal="left" vertical="top" wrapText="1" indent="2"/>
    </xf>
    <xf numFmtId="0" fontId="21" fillId="0" borderId="26" xfId="0" applyFont="1" applyFill="1" applyBorder="1" applyAlignment="1">
      <alignment horizontal="left" vertical="top" wrapText="1" indent="2"/>
    </xf>
    <xf numFmtId="0" fontId="21" fillId="0" borderId="27" xfId="0" applyFont="1" applyFill="1" applyBorder="1" applyAlignment="1">
      <alignment horizontal="left" vertical="top" wrapText="1" indent="2"/>
    </xf>
    <xf numFmtId="0" fontId="21" fillId="0" borderId="22" xfId="0" applyFont="1" applyFill="1" applyBorder="1" applyAlignment="1">
      <alignment horizontal="left" vertical="top" wrapText="1" indent="2"/>
    </xf>
    <xf numFmtId="0" fontId="21" fillId="0" borderId="8" xfId="0" applyFont="1" applyFill="1" applyBorder="1" applyAlignment="1">
      <alignment horizontal="left" vertical="top" wrapText="1" indent="2"/>
    </xf>
    <xf numFmtId="0" fontId="21" fillId="0" borderId="17" xfId="0" applyNumberFormat="1" applyFont="1" applyFill="1" applyBorder="1" applyAlignment="1">
      <alignment horizontal="left" vertical="top" wrapText="1" indent="2"/>
    </xf>
    <xf numFmtId="0" fontId="22" fillId="0" borderId="18" xfId="0" applyNumberFormat="1" applyFont="1" applyFill="1" applyBorder="1" applyAlignment="1">
      <alignment horizontal="left" vertical="top" wrapText="1" indent="2"/>
    </xf>
    <xf numFmtId="0" fontId="12" fillId="0" borderId="0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1" fillId="0" borderId="19" xfId="0" applyFont="1" applyFill="1" applyBorder="1" applyAlignment="1">
      <alignment horizontal="left" vertical="top" wrapText="1" indent="2"/>
    </xf>
    <xf numFmtId="0" fontId="21" fillId="0" borderId="14" xfId="0" applyFont="1" applyFill="1" applyBorder="1" applyAlignment="1">
      <alignment horizontal="left" vertical="top" wrapText="1" indent="2"/>
    </xf>
    <xf numFmtId="0" fontId="20" fillId="0" borderId="44" xfId="0" applyFont="1" applyFill="1" applyBorder="1" applyAlignment="1">
      <alignment horizontal="left" vertical="top" wrapText="1" indent="2"/>
    </xf>
    <xf numFmtId="0" fontId="20" fillId="0" borderId="37" xfId="0" applyFont="1" applyFill="1" applyBorder="1" applyAlignment="1">
      <alignment horizontal="left" vertical="top" wrapText="1" indent="2"/>
    </xf>
    <xf numFmtId="0" fontId="21" fillId="0" borderId="17" xfId="0" applyFont="1" applyFill="1" applyBorder="1" applyAlignment="1">
      <alignment horizontal="left" vertical="top" indent="2"/>
    </xf>
    <xf numFmtId="0" fontId="20" fillId="0" borderId="11" xfId="0" applyFont="1" applyFill="1" applyBorder="1" applyAlignment="1">
      <alignment horizontal="left" vertical="top" wrapText="1" indent="2"/>
    </xf>
    <xf numFmtId="0" fontId="23" fillId="0" borderId="12" xfId="0" applyFont="1" applyBorder="1" applyAlignment="1">
      <alignment horizontal="left" vertical="top" wrapText="1" indent="2"/>
    </xf>
    <xf numFmtId="0" fontId="20" fillId="0" borderId="33" xfId="0" applyFont="1" applyFill="1" applyBorder="1" applyAlignment="1">
      <alignment horizontal="left" vertical="top" wrapText="1" indent="2"/>
    </xf>
    <xf numFmtId="0" fontId="21" fillId="0" borderId="34" xfId="0" applyFont="1" applyFill="1" applyBorder="1" applyAlignment="1">
      <alignment horizontal="left" vertical="top" wrapText="1" indent="2"/>
    </xf>
    <xf numFmtId="0" fontId="21" fillId="0" borderId="19" xfId="0" applyNumberFormat="1" applyFont="1" applyFill="1" applyBorder="1" applyAlignment="1">
      <alignment horizontal="left" vertical="top" indent="2"/>
    </xf>
    <xf numFmtId="0" fontId="21" fillId="0" borderId="14" xfId="0" applyNumberFormat="1" applyFont="1" applyFill="1" applyBorder="1" applyAlignment="1">
      <alignment horizontal="left" vertical="top" indent="2"/>
    </xf>
    <xf numFmtId="0" fontId="5" fillId="0" borderId="11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1" fillId="0" borderId="18" xfId="0" applyFont="1" applyFill="1" applyBorder="1" applyAlignment="1">
      <alignment horizontal="left" vertical="top" indent="2"/>
    </xf>
    <xf numFmtId="0" fontId="15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2" xfId="0" applyFont="1" applyFill="1" applyBorder="1" applyAlignment="1">
      <alignment horizontal="left" vertical="top" wrapText="1" indent="2"/>
    </xf>
    <xf numFmtId="0" fontId="21" fillId="0" borderId="19" xfId="0" applyFont="1" applyFill="1" applyBorder="1" applyAlignment="1">
      <alignment horizontal="left" vertical="top" indent="2"/>
    </xf>
    <xf numFmtId="0" fontId="22" fillId="0" borderId="14" xfId="0" applyFont="1" applyBorder="1" applyAlignment="1">
      <alignment horizontal="left" vertical="top" indent="2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5" fillId="0" borderId="11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left" vertical="top" wrapText="1" indent="2"/>
    </xf>
    <xf numFmtId="0" fontId="21" fillId="0" borderId="24" xfId="0" applyFont="1" applyFill="1" applyBorder="1" applyAlignment="1">
      <alignment horizontal="left" vertical="top" wrapText="1" indent="2"/>
    </xf>
    <xf numFmtId="0" fontId="20" fillId="0" borderId="11" xfId="0" applyFont="1" applyFill="1" applyBorder="1" applyAlignment="1">
      <alignment horizontal="left" vertical="top" indent="2"/>
    </xf>
    <xf numFmtId="0" fontId="23" fillId="0" borderId="12" xfId="0" applyFont="1" applyBorder="1" applyAlignment="1">
      <alignment horizontal="left" vertical="top" indent="2"/>
    </xf>
    <xf numFmtId="0" fontId="11" fillId="0" borderId="0" xfId="0" applyFont="1" applyFill="1" applyBorder="1" applyAlignment="1">
      <alignment horizontal="left" indent="2"/>
    </xf>
    <xf numFmtId="0" fontId="21" fillId="0" borderId="18" xfId="0" applyNumberFormat="1" applyFont="1" applyFill="1" applyBorder="1" applyAlignment="1">
      <alignment horizontal="left" vertical="top" indent="2"/>
    </xf>
    <xf numFmtId="0" fontId="24" fillId="0" borderId="10" xfId="0" applyFont="1" applyBorder="1" applyAlignment="1">
      <alignment horizontal="center"/>
    </xf>
    <xf numFmtId="0" fontId="22" fillId="0" borderId="21" xfId="0" applyFont="1" applyBorder="1" applyAlignment="1">
      <alignment horizontal="left" indent="2"/>
    </xf>
    <xf numFmtId="0" fontId="22" fillId="0" borderId="9" xfId="0" applyFont="1" applyBorder="1" applyAlignment="1">
      <alignment horizontal="left" indent="2"/>
    </xf>
    <xf numFmtId="0" fontId="22" fillId="0" borderId="9" xfId="0" applyFont="1" applyFill="1" applyBorder="1" applyAlignment="1">
      <alignment horizontal="left" indent="2"/>
    </xf>
    <xf numFmtId="0" fontId="22" fillId="0" borderId="10" xfId="0" applyFont="1" applyBorder="1" applyAlignment="1">
      <alignment horizontal="left" indent="2"/>
    </xf>
    <xf numFmtId="0" fontId="21" fillId="0" borderId="4" xfId="0" applyFont="1" applyFill="1" applyBorder="1" applyAlignment="1">
      <alignment horizontal="left" vertical="top" wrapText="1" indent="2"/>
    </xf>
    <xf numFmtId="0" fontId="21" fillId="0" borderId="5" xfId="0" applyFont="1" applyFill="1" applyBorder="1" applyAlignment="1">
      <alignment horizontal="left" vertical="top" wrapText="1" indent="2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21" fillId="0" borderId="18" xfId="0" applyNumberFormat="1" applyFont="1" applyFill="1" applyBorder="1" applyAlignment="1">
      <alignment horizontal="left" vertical="top" wrapText="1" indent="2"/>
    </xf>
    <xf numFmtId="0" fontId="11" fillId="0" borderId="0" xfId="0" applyFont="1" applyBorder="1" applyAlignment="1">
      <alignment horizontal="left" indent="2"/>
    </xf>
    <xf numFmtId="0" fontId="12" fillId="0" borderId="0" xfId="0" applyFont="1" applyBorder="1" applyAlignment="1">
      <alignment horizontal="left" indent="2"/>
    </xf>
    <xf numFmtId="0" fontId="0" fillId="0" borderId="12" xfId="0" applyBorder="1" applyAlignment="1"/>
    <xf numFmtId="0" fontId="5" fillId="0" borderId="1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left" indent="2"/>
    </xf>
    <xf numFmtId="0" fontId="22" fillId="0" borderId="18" xfId="0" applyFont="1" applyBorder="1" applyAlignment="1">
      <alignment horizontal="left" indent="2"/>
    </xf>
    <xf numFmtId="0" fontId="22" fillId="0" borderId="19" xfId="0" applyFont="1" applyBorder="1" applyAlignment="1">
      <alignment horizontal="left" indent="2"/>
    </xf>
    <xf numFmtId="0" fontId="22" fillId="0" borderId="14" xfId="0" applyFont="1" applyBorder="1" applyAlignment="1">
      <alignment horizontal="left" indent="2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22" fillId="0" borderId="15" xfId="0" applyFont="1" applyBorder="1" applyAlignment="1">
      <alignment horizontal="left" indent="2"/>
    </xf>
    <xf numFmtId="0" fontId="22" fillId="0" borderId="16" xfId="0" applyFont="1" applyBorder="1" applyAlignment="1">
      <alignment horizontal="left" indent="2"/>
    </xf>
    <xf numFmtId="0" fontId="22" fillId="0" borderId="18" xfId="0" applyNumberFormat="1" applyFont="1" applyFill="1" applyBorder="1" applyAlignment="1">
      <alignment horizontal="left" vertical="top" indent="2"/>
    </xf>
    <xf numFmtId="0" fontId="25" fillId="0" borderId="6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0" fontId="20" fillId="0" borderId="12" xfId="0" applyFont="1" applyBorder="1" applyAlignment="1">
      <alignment horizontal="left" vertical="top" indent="2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top" wrapText="1" indent="2"/>
    </xf>
    <xf numFmtId="0" fontId="22" fillId="0" borderId="20" xfId="0" applyFont="1" applyBorder="1" applyAlignment="1">
      <alignment horizontal="left" vertical="top" wrapText="1" indent="2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1" fillId="0" borderId="15" xfId="0" applyFont="1" applyFill="1" applyBorder="1" applyAlignment="1">
      <alignment horizontal="left" vertical="top" indent="2"/>
    </xf>
    <xf numFmtId="0" fontId="22" fillId="0" borderId="16" xfId="0" applyFont="1" applyBorder="1" applyAlignment="1">
      <alignment horizontal="left" vertical="top" indent="2"/>
    </xf>
    <xf numFmtId="0" fontId="20" fillId="0" borderId="39" xfId="0" applyFont="1" applyFill="1" applyBorder="1" applyAlignment="1">
      <alignment horizontal="left" vertical="top" wrapText="1" indent="2"/>
    </xf>
    <xf numFmtId="0" fontId="21" fillId="0" borderId="40" xfId="0" applyFont="1" applyFill="1" applyBorder="1" applyAlignment="1">
      <alignment horizontal="left" vertical="top" wrapText="1" indent="2"/>
    </xf>
    <xf numFmtId="0" fontId="20" fillId="0" borderId="19" xfId="0" applyFont="1" applyFill="1" applyBorder="1" applyAlignment="1">
      <alignment horizontal="left" vertical="top" wrapText="1" indent="2"/>
    </xf>
    <xf numFmtId="0" fontId="20" fillId="0" borderId="14" xfId="0" applyFont="1" applyFill="1" applyBorder="1" applyAlignment="1">
      <alignment horizontal="left" vertical="top" wrapText="1" indent="2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0" fillId="0" borderId="0" xfId="0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25" fillId="0" borderId="6" xfId="0" applyFont="1" applyFill="1" applyBorder="1" applyAlignment="1">
      <alignment horizontal="left" vertical="top" wrapText="1" indent="2"/>
    </xf>
    <xf numFmtId="0" fontId="25" fillId="0" borderId="7" xfId="0" applyFont="1" applyFill="1" applyBorder="1" applyAlignment="1">
      <alignment horizontal="left" vertical="top" wrapText="1" indent="2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0" fillId="0" borderId="15" xfId="0" applyFont="1" applyFill="1" applyBorder="1" applyAlignment="1">
      <alignment horizontal="left" vertical="top" indent="2"/>
    </xf>
    <xf numFmtId="0" fontId="23" fillId="0" borderId="16" xfId="0" applyFont="1" applyBorder="1" applyAlignment="1">
      <alignment horizontal="left" vertical="top" indent="2"/>
    </xf>
    <xf numFmtId="0" fontId="11" fillId="0" borderId="0" xfId="0" applyFont="1" applyBorder="1" applyAlignment="1">
      <alignment horizontal="center"/>
    </xf>
    <xf numFmtId="0" fontId="21" fillId="0" borderId="20" xfId="0" applyFont="1" applyFill="1" applyBorder="1" applyAlignment="1">
      <alignment horizontal="left" vertical="top" wrapText="1" indent="2"/>
    </xf>
    <xf numFmtId="0" fontId="24" fillId="0" borderId="21" xfId="0" applyFont="1" applyBorder="1" applyAlignment="1">
      <alignment horizontal="center"/>
    </xf>
    <xf numFmtId="0" fontId="22" fillId="0" borderId="19" xfId="0" applyFont="1" applyBorder="1" applyAlignment="1">
      <alignment horizontal="left" wrapText="1" indent="2"/>
    </xf>
    <xf numFmtId="0" fontId="22" fillId="0" borderId="14" xfId="0" applyFont="1" applyBorder="1" applyAlignment="1">
      <alignment horizontal="left" wrapText="1" indent="2"/>
    </xf>
    <xf numFmtId="0" fontId="22" fillId="0" borderId="15" xfId="0" applyFont="1" applyBorder="1" applyAlignment="1">
      <alignment horizontal="left" wrapText="1" indent="2"/>
    </xf>
    <xf numFmtId="0" fontId="22" fillId="0" borderId="16" xfId="0" applyFont="1" applyBorder="1" applyAlignment="1">
      <alignment horizontal="left" wrapText="1" indent="2"/>
    </xf>
    <xf numFmtId="0" fontId="23" fillId="0" borderId="14" xfId="0" applyFont="1" applyBorder="1" applyAlignment="1">
      <alignment horizontal="left" vertical="top" wrapText="1" indent="2"/>
    </xf>
    <xf numFmtId="0" fontId="21" fillId="0" borderId="0" xfId="0" applyFont="1" applyFill="1" applyBorder="1" applyAlignment="1">
      <alignment horizontal="left" vertical="top" wrapText="1" indent="2"/>
    </xf>
    <xf numFmtId="0" fontId="21" fillId="0" borderId="38" xfId="0" applyFont="1" applyFill="1" applyBorder="1" applyAlignment="1">
      <alignment horizontal="left" vertical="top" wrapText="1" indent="2"/>
    </xf>
    <xf numFmtId="0" fontId="13" fillId="0" borderId="13" xfId="0" applyFont="1" applyBorder="1" applyAlignment="1">
      <alignment horizontal="center" wrapText="1"/>
    </xf>
    <xf numFmtId="0" fontId="0" fillId="0" borderId="18" xfId="0" applyBorder="1" applyAlignment="1">
      <alignment horizontal="left" vertical="top" wrapText="1" indent="2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2" fillId="0" borderId="15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1" fillId="0" borderId="15" xfId="0" applyFont="1" applyFill="1" applyBorder="1" applyAlignment="1">
      <alignment horizontal="left" vertical="top" wrapText="1" indent="2"/>
    </xf>
    <xf numFmtId="0" fontId="22" fillId="0" borderId="16" xfId="0" applyFont="1" applyBorder="1" applyAlignment="1">
      <alignment horizontal="left" vertical="top" wrapText="1" indent="2"/>
    </xf>
    <xf numFmtId="0" fontId="25" fillId="0" borderId="6" xfId="0" applyFont="1" applyFill="1" applyBorder="1" applyAlignment="1">
      <alignment horizontal="left" vertical="top" wrapText="1" indent="1"/>
    </xf>
    <xf numFmtId="0" fontId="25" fillId="0" borderId="7" xfId="0" applyFont="1" applyFill="1" applyBorder="1" applyAlignment="1">
      <alignment horizontal="left" vertical="top" wrapText="1" indent="1"/>
    </xf>
    <xf numFmtId="0" fontId="22" fillId="0" borderId="14" xfId="0" applyFont="1" applyBorder="1" applyAlignment="1">
      <alignment horizontal="left" vertical="top" wrapText="1" indent="2"/>
    </xf>
    <xf numFmtId="0" fontId="26" fillId="0" borderId="29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1" fillId="0" borderId="46" xfId="0" applyFont="1" applyFill="1" applyBorder="1" applyAlignment="1">
      <alignment horizontal="left" vertical="top" wrapText="1" indent="2"/>
    </xf>
    <xf numFmtId="0" fontId="21" fillId="0" borderId="47" xfId="0" applyFont="1" applyFill="1" applyBorder="1" applyAlignment="1">
      <alignment horizontal="left" vertical="top" wrapText="1" indent="2"/>
    </xf>
    <xf numFmtId="0" fontId="0" fillId="0" borderId="14" xfId="0" applyBorder="1" applyAlignment="1">
      <alignment horizontal="left" vertical="top" wrapText="1" indent="2"/>
    </xf>
    <xf numFmtId="0" fontId="21" fillId="0" borderId="49" xfId="0" applyFont="1" applyFill="1" applyBorder="1" applyAlignment="1">
      <alignment horizontal="left" vertical="top" wrapText="1" indent="2"/>
    </xf>
    <xf numFmtId="0" fontId="21" fillId="0" borderId="50" xfId="0" applyFont="1" applyFill="1" applyBorder="1" applyAlignment="1">
      <alignment horizontal="left" vertical="top" wrapText="1" indent="2"/>
    </xf>
    <xf numFmtId="0" fontId="20" fillId="0" borderId="48" xfId="0" applyFont="1" applyFill="1" applyBorder="1" applyAlignment="1">
      <alignment horizontal="left" vertical="top" wrapText="1" indent="2"/>
    </xf>
    <xf numFmtId="0" fontId="0" fillId="0" borderId="2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2" fillId="0" borderId="0" xfId="0" applyFont="1" applyBorder="1" applyAlignment="1">
      <alignment horizontal="left" vertical="top" indent="2"/>
    </xf>
    <xf numFmtId="0" fontId="22" fillId="0" borderId="0" xfId="0" applyNumberFormat="1" applyFont="1" applyFill="1" applyBorder="1" applyAlignment="1">
      <alignment horizontal="left" vertical="top" wrapText="1" indent="2"/>
    </xf>
    <xf numFmtId="0" fontId="21" fillId="0" borderId="0" xfId="0" applyNumberFormat="1" applyFont="1" applyFill="1" applyBorder="1" applyAlignment="1">
      <alignment horizontal="left" vertical="top" wrapText="1" indent="2"/>
    </xf>
    <xf numFmtId="2" fontId="21" fillId="0" borderId="17" xfId="0" applyNumberFormat="1" applyFont="1" applyFill="1" applyBorder="1" applyAlignment="1">
      <alignment horizontal="left" vertical="top" wrapText="1" indent="2"/>
    </xf>
    <xf numFmtId="2" fontId="0" fillId="0" borderId="18" xfId="0" applyNumberFormat="1" applyBorder="1" applyAlignment="1">
      <alignment horizontal="left" vertical="top" wrapText="1" indent="2"/>
    </xf>
    <xf numFmtId="0" fontId="20" fillId="0" borderId="11" xfId="0" applyNumberFormat="1" applyFont="1" applyFill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9"/>
  <sheetViews>
    <sheetView tabSelected="1" topLeftCell="A10" workbookViewId="0">
      <selection activeCell="D27" sqref="D27"/>
    </sheetView>
  </sheetViews>
  <sheetFormatPr defaultRowHeight="15"/>
  <cols>
    <col min="1" max="1" width="4.7109375" customWidth="1"/>
    <col min="2" max="2" width="9.140625" customWidth="1"/>
    <col min="3" max="3" width="71.7109375" customWidth="1"/>
    <col min="4" max="4" width="16.42578125" customWidth="1"/>
    <col min="5" max="5" width="4.85546875" customWidth="1"/>
    <col min="7" max="7" width="14.28515625" customWidth="1"/>
    <col min="8" max="8" width="11.42578125" bestFit="1" customWidth="1"/>
  </cols>
  <sheetData>
    <row r="1" spans="2:8" ht="36" customHeight="1" thickBot="1">
      <c r="B1" s="199" t="s">
        <v>137</v>
      </c>
      <c r="C1" s="200"/>
      <c r="D1" s="201"/>
      <c r="E1" s="120"/>
    </row>
    <row r="2" spans="2:8" ht="19.5" customHeight="1" thickBot="1">
      <c r="B2" s="180" t="s">
        <v>43</v>
      </c>
      <c r="C2" s="181"/>
      <c r="D2" s="153" t="s">
        <v>23</v>
      </c>
    </row>
    <row r="3" spans="2:8" ht="19.5" customHeight="1">
      <c r="B3" s="182" t="s">
        <v>77</v>
      </c>
      <c r="C3" s="183"/>
      <c r="D3" s="46">
        <v>169623.25</v>
      </c>
    </row>
    <row r="4" spans="2:8" ht="19.5" customHeight="1">
      <c r="B4" s="184" t="s">
        <v>46</v>
      </c>
      <c r="C4" s="185"/>
      <c r="D4" s="47">
        <v>1846789.08</v>
      </c>
    </row>
    <row r="5" spans="2:8" ht="19.5" customHeight="1">
      <c r="B5" s="184" t="s">
        <v>35</v>
      </c>
      <c r="C5" s="185"/>
      <c r="D5" s="47">
        <v>1840178.18</v>
      </c>
    </row>
    <row r="6" spans="2:8" ht="19.5" customHeight="1" thickBot="1">
      <c r="B6" s="186" t="s">
        <v>78</v>
      </c>
      <c r="C6" s="187"/>
      <c r="D6" s="54">
        <f>D3+D4-D5</f>
        <v>176234.15000000014</v>
      </c>
    </row>
    <row r="7" spans="2:8" ht="18" customHeight="1" thickBot="1">
      <c r="B7" s="208" t="s">
        <v>97</v>
      </c>
      <c r="C7" s="209"/>
      <c r="D7" s="50">
        <f>D5</f>
        <v>1840178.18</v>
      </c>
    </row>
    <row r="8" spans="2:8" ht="19.5" hidden="1" customHeight="1">
      <c r="B8" s="2"/>
      <c r="C8" s="2"/>
      <c r="D8" s="6" t="s">
        <v>23</v>
      </c>
    </row>
    <row r="9" spans="2:8" ht="19.5" hidden="1" customHeight="1" thickBot="1">
      <c r="B9" s="17"/>
      <c r="C9" s="17"/>
      <c r="D9" s="17"/>
    </row>
    <row r="10" spans="2:8" ht="19.5" customHeight="1" thickBot="1">
      <c r="B10" s="162" t="s">
        <v>44</v>
      </c>
      <c r="C10" s="163"/>
      <c r="D10" s="37" t="s">
        <v>23</v>
      </c>
      <c r="E10" s="2"/>
      <c r="F10" s="2"/>
      <c r="G10" s="2"/>
    </row>
    <row r="11" spans="2:8" ht="19.5" customHeight="1">
      <c r="B11" s="195" t="s">
        <v>8</v>
      </c>
      <c r="C11" s="196"/>
      <c r="D11" s="38">
        <f>D12+D13+D14+D15</f>
        <v>217738.41999999998</v>
      </c>
      <c r="E11" s="85"/>
      <c r="F11" s="85"/>
      <c r="G11" s="85"/>
      <c r="H11" s="70"/>
    </row>
    <row r="12" spans="2:8" ht="19.5" customHeight="1">
      <c r="B12" s="164" t="s">
        <v>2</v>
      </c>
      <c r="C12" s="168"/>
      <c r="D12" s="39">
        <v>170995</v>
      </c>
      <c r="E12" s="70"/>
      <c r="F12" s="70"/>
      <c r="G12" s="70"/>
      <c r="H12" s="70"/>
    </row>
    <row r="13" spans="2:8" ht="19.5" customHeight="1">
      <c r="B13" s="164" t="s">
        <v>99</v>
      </c>
      <c r="C13" s="168"/>
      <c r="D13" s="39">
        <f>205535.99-D12</f>
        <v>34540.989999999991</v>
      </c>
      <c r="E13" s="70"/>
      <c r="F13" s="70"/>
      <c r="G13" s="71"/>
      <c r="H13" s="70"/>
    </row>
    <row r="14" spans="2:8" ht="19.5" customHeight="1">
      <c r="B14" s="164" t="s">
        <v>105</v>
      </c>
      <c r="C14" s="165"/>
      <c r="D14" s="39">
        <v>3102.43</v>
      </c>
      <c r="E14" s="70"/>
      <c r="F14" s="70"/>
      <c r="G14" s="71"/>
      <c r="H14" s="70"/>
    </row>
    <row r="15" spans="2:8" ht="19.5" customHeight="1" thickBot="1">
      <c r="B15" s="197" t="s">
        <v>40</v>
      </c>
      <c r="C15" s="198"/>
      <c r="D15" s="39">
        <v>9100</v>
      </c>
      <c r="E15" s="70"/>
      <c r="F15" s="70"/>
      <c r="G15" s="70"/>
      <c r="H15" s="70"/>
    </row>
    <row r="16" spans="2:8" ht="19.5" customHeight="1" thickBot="1">
      <c r="B16" s="169" t="s">
        <v>4</v>
      </c>
      <c r="C16" s="170"/>
      <c r="D16" s="40">
        <v>131825.88</v>
      </c>
      <c r="E16" s="70"/>
      <c r="F16" s="70"/>
      <c r="G16" s="70"/>
      <c r="H16" s="71"/>
    </row>
    <row r="17" spans="2:8" ht="19.5" customHeight="1">
      <c r="B17" s="171" t="s">
        <v>14</v>
      </c>
      <c r="C17" s="172"/>
      <c r="D17" s="38">
        <f>D18+D19+D20+D21+D22+D23+D24+D25+D26+D27+D28+D29</f>
        <v>475728.6</v>
      </c>
      <c r="E17" s="70"/>
      <c r="F17" s="70"/>
      <c r="G17" s="70"/>
      <c r="H17" s="70"/>
    </row>
    <row r="18" spans="2:8" ht="19.5" customHeight="1">
      <c r="B18" s="164" t="s">
        <v>136</v>
      </c>
      <c r="C18" s="165"/>
      <c r="D18" s="66">
        <f>52852.87-D14-D19-9751</f>
        <v>38027.730000000003</v>
      </c>
      <c r="E18" s="70"/>
      <c r="F18" s="70"/>
      <c r="G18" s="70"/>
      <c r="H18" s="70"/>
    </row>
    <row r="19" spans="2:8" ht="19.5" customHeight="1">
      <c r="B19" s="164" t="s">
        <v>5</v>
      </c>
      <c r="C19" s="165"/>
      <c r="D19" s="66">
        <v>1971.71</v>
      </c>
      <c r="E19" s="70"/>
      <c r="F19" s="70"/>
      <c r="G19" s="70"/>
      <c r="H19" s="70"/>
    </row>
    <row r="20" spans="2:8" ht="19.5" customHeight="1">
      <c r="B20" s="164" t="s">
        <v>117</v>
      </c>
      <c r="C20" s="165"/>
      <c r="D20" s="66">
        <v>280856.74</v>
      </c>
      <c r="E20" s="70"/>
      <c r="F20" s="70"/>
      <c r="G20" s="70"/>
      <c r="H20" s="70"/>
    </row>
    <row r="21" spans="2:8" ht="19.5" customHeight="1">
      <c r="B21" s="192" t="s">
        <v>99</v>
      </c>
      <c r="C21" s="167"/>
      <c r="D21" s="66">
        <v>56525.79</v>
      </c>
      <c r="E21" s="70"/>
      <c r="F21" s="70"/>
      <c r="G21" s="70"/>
      <c r="H21" s="70"/>
    </row>
    <row r="22" spans="2:8" ht="19.5" customHeight="1">
      <c r="B22" s="192" t="s">
        <v>96</v>
      </c>
      <c r="C22" s="202"/>
      <c r="D22" s="66">
        <v>8766.56</v>
      </c>
      <c r="E22" s="70"/>
      <c r="F22" s="70"/>
      <c r="G22" s="70"/>
      <c r="H22" s="70"/>
    </row>
    <row r="23" spans="2:8" ht="19.5" customHeight="1">
      <c r="B23" s="164" t="s">
        <v>32</v>
      </c>
      <c r="C23" s="165"/>
      <c r="D23" s="66">
        <f>9651+100+5356.56</f>
        <v>15107.560000000001</v>
      </c>
      <c r="E23" s="70"/>
      <c r="F23" s="70"/>
      <c r="G23" s="70"/>
      <c r="H23" s="70"/>
    </row>
    <row r="24" spans="2:8" ht="19.5" customHeight="1">
      <c r="B24" s="164" t="s">
        <v>21</v>
      </c>
      <c r="C24" s="165"/>
      <c r="D24" s="66">
        <v>4160</v>
      </c>
      <c r="E24" s="70"/>
      <c r="F24" s="70"/>
      <c r="G24" s="70"/>
      <c r="H24" s="70"/>
    </row>
    <row r="25" spans="2:8" ht="19.5" customHeight="1">
      <c r="B25" s="164" t="s">
        <v>152</v>
      </c>
      <c r="C25" s="165"/>
      <c r="D25" s="66">
        <v>7440</v>
      </c>
      <c r="E25" s="70"/>
      <c r="F25" s="70"/>
      <c r="G25" s="70"/>
      <c r="H25" s="70"/>
    </row>
    <row r="26" spans="2:8" ht="19.5" customHeight="1">
      <c r="B26" s="177" t="s">
        <v>38</v>
      </c>
      <c r="C26" s="178"/>
      <c r="D26" s="66">
        <v>39914.81</v>
      </c>
      <c r="E26" s="70"/>
      <c r="F26" s="70"/>
      <c r="G26" s="70"/>
      <c r="H26" s="70"/>
    </row>
    <row r="27" spans="2:8" ht="19.5" customHeight="1">
      <c r="B27" s="164" t="s">
        <v>79</v>
      </c>
      <c r="C27" s="165"/>
      <c r="D27" s="66">
        <v>16950.7</v>
      </c>
      <c r="E27" s="70"/>
      <c r="F27" s="70"/>
      <c r="G27" s="70"/>
      <c r="H27" s="70"/>
    </row>
    <row r="28" spans="2:8" ht="19.5" customHeight="1">
      <c r="B28" s="166" t="s">
        <v>33</v>
      </c>
      <c r="C28" s="167"/>
      <c r="D28" s="66">
        <v>1748.36</v>
      </c>
      <c r="E28" s="70"/>
      <c r="F28" s="70"/>
      <c r="G28" s="70"/>
      <c r="H28" s="70"/>
    </row>
    <row r="29" spans="2:8" ht="19.5" customHeight="1" thickBot="1">
      <c r="B29" s="188" t="s">
        <v>110</v>
      </c>
      <c r="C29" s="189"/>
      <c r="D29" s="81">
        <v>4258.6400000000003</v>
      </c>
      <c r="E29" s="70"/>
      <c r="F29" s="70"/>
      <c r="G29" s="70"/>
      <c r="H29" s="70"/>
    </row>
    <row r="30" spans="2:8" ht="19.5" customHeight="1">
      <c r="B30" s="190" t="s">
        <v>34</v>
      </c>
      <c r="C30" s="191"/>
      <c r="D30" s="134">
        <f>D31+D32+D33</f>
        <v>493183.5</v>
      </c>
      <c r="E30" s="70"/>
      <c r="F30" s="70"/>
      <c r="G30" s="70"/>
      <c r="H30" s="70"/>
    </row>
    <row r="31" spans="2:8" ht="19.5" customHeight="1">
      <c r="B31" s="175" t="s">
        <v>16</v>
      </c>
      <c r="C31" s="176"/>
      <c r="D31" s="39">
        <v>1963.5</v>
      </c>
      <c r="E31" s="70"/>
      <c r="F31" s="70"/>
      <c r="G31" s="70"/>
      <c r="H31" s="70"/>
    </row>
    <row r="32" spans="2:8" ht="19.5" customHeight="1">
      <c r="B32" s="175" t="s">
        <v>56</v>
      </c>
      <c r="C32" s="176"/>
      <c r="D32" s="39">
        <v>16500</v>
      </c>
      <c r="E32" s="70"/>
      <c r="F32" s="70"/>
      <c r="G32" s="70"/>
      <c r="H32" s="70"/>
    </row>
    <row r="33" spans="2:8" ht="19.5" customHeight="1" thickBot="1">
      <c r="B33" s="173" t="s">
        <v>47</v>
      </c>
      <c r="C33" s="174"/>
      <c r="D33" s="42">
        <v>474720</v>
      </c>
      <c r="E33" s="70"/>
      <c r="F33" s="70"/>
      <c r="G33" s="70"/>
      <c r="H33" s="70"/>
    </row>
    <row r="34" spans="2:8" ht="19.5" customHeight="1" thickBot="1">
      <c r="B34" s="193" t="s">
        <v>42</v>
      </c>
      <c r="C34" s="205"/>
      <c r="D34" s="43">
        <v>860.2</v>
      </c>
      <c r="E34" s="70"/>
      <c r="F34" s="70"/>
      <c r="G34" s="70"/>
      <c r="H34" s="70"/>
    </row>
    <row r="35" spans="2:8" ht="19.5" customHeight="1" thickBot="1">
      <c r="B35" s="193" t="s">
        <v>138</v>
      </c>
      <c r="C35" s="194"/>
      <c r="D35" s="40">
        <v>5405.61</v>
      </c>
      <c r="E35" s="70"/>
      <c r="F35" s="70"/>
      <c r="G35" s="70"/>
      <c r="H35" s="70"/>
    </row>
    <row r="36" spans="2:8" ht="19.5" customHeight="1">
      <c r="B36" s="171" t="s">
        <v>31</v>
      </c>
      <c r="C36" s="172"/>
      <c r="D36" s="38">
        <f>D37+D38+D39+D40+D41+D42+D43+D44+D45+D46</f>
        <v>438569.38</v>
      </c>
      <c r="E36" s="70"/>
      <c r="F36" s="70"/>
      <c r="G36" s="70"/>
      <c r="H36" s="70"/>
    </row>
    <row r="37" spans="2:8" ht="19.5" customHeight="1">
      <c r="B37" s="175" t="s">
        <v>139</v>
      </c>
      <c r="C37" s="176"/>
      <c r="D37" s="66">
        <v>230043.76</v>
      </c>
      <c r="E37" s="70"/>
      <c r="F37" s="70"/>
      <c r="G37" s="70"/>
      <c r="H37" s="70"/>
    </row>
    <row r="38" spans="2:8" ht="19.5" customHeight="1">
      <c r="B38" s="164" t="s">
        <v>99</v>
      </c>
      <c r="C38" s="168"/>
      <c r="D38" s="66">
        <v>46411.25</v>
      </c>
      <c r="E38" s="70"/>
      <c r="F38" s="70"/>
      <c r="G38" s="70"/>
      <c r="H38" s="70"/>
    </row>
    <row r="39" spans="2:8" ht="19.5" customHeight="1">
      <c r="B39" s="164" t="s">
        <v>101</v>
      </c>
      <c r="C39" s="168"/>
      <c r="D39" s="66">
        <v>77688.210000000006</v>
      </c>
      <c r="E39" s="70"/>
      <c r="F39" s="70"/>
      <c r="G39" s="70"/>
      <c r="H39" s="70"/>
    </row>
    <row r="40" spans="2:8" ht="19.5" customHeight="1">
      <c r="B40" s="164" t="s">
        <v>102</v>
      </c>
      <c r="C40" s="168"/>
      <c r="D40" s="66">
        <v>7656.58</v>
      </c>
      <c r="E40" s="70"/>
      <c r="F40" s="70"/>
      <c r="G40" s="70"/>
      <c r="H40" s="70"/>
    </row>
    <row r="41" spans="2:8" ht="19.5" customHeight="1">
      <c r="B41" s="164" t="s">
        <v>1</v>
      </c>
      <c r="C41" s="168"/>
      <c r="D41" s="66">
        <v>18516.47</v>
      </c>
      <c r="E41" s="70"/>
      <c r="F41" s="70"/>
      <c r="G41" s="70"/>
      <c r="H41" s="70"/>
    </row>
    <row r="42" spans="2:8" ht="19.5" customHeight="1">
      <c r="B42" s="192" t="s">
        <v>103</v>
      </c>
      <c r="C42" s="167"/>
      <c r="D42" s="66">
        <v>5995.31</v>
      </c>
      <c r="E42" s="70"/>
      <c r="F42" s="70"/>
      <c r="G42" s="70"/>
      <c r="H42" s="70"/>
    </row>
    <row r="43" spans="2:8" ht="19.5" customHeight="1">
      <c r="B43" s="192" t="s">
        <v>0</v>
      </c>
      <c r="C43" s="167"/>
      <c r="D43" s="66">
        <f>43.2+1823.26</f>
        <v>1866.46</v>
      </c>
      <c r="E43" s="70"/>
      <c r="F43" s="70"/>
      <c r="G43" s="70"/>
      <c r="H43" s="70"/>
    </row>
    <row r="44" spans="2:8" ht="19.5" customHeight="1">
      <c r="B44" s="192" t="s">
        <v>12</v>
      </c>
      <c r="C44" s="167"/>
      <c r="D44" s="66">
        <v>2254.92</v>
      </c>
      <c r="E44" s="70"/>
      <c r="F44" s="70"/>
      <c r="G44" s="70"/>
      <c r="H44" s="70"/>
    </row>
    <row r="45" spans="2:8" ht="19.5" customHeight="1">
      <c r="B45" s="192" t="s">
        <v>13</v>
      </c>
      <c r="C45" s="167"/>
      <c r="D45" s="66">
        <v>4138.3100000000004</v>
      </c>
      <c r="E45" s="70"/>
      <c r="F45" s="70"/>
      <c r="G45" s="70"/>
      <c r="H45" s="70"/>
    </row>
    <row r="46" spans="2:8" ht="19.5" customHeight="1" thickBot="1">
      <c r="B46" s="206" t="s">
        <v>104</v>
      </c>
      <c r="C46" s="207"/>
      <c r="D46" s="81">
        <v>43998.11</v>
      </c>
      <c r="E46" s="70"/>
      <c r="F46" s="70"/>
      <c r="G46" s="70"/>
      <c r="H46" s="70"/>
    </row>
    <row r="47" spans="2:8" ht="19.5" customHeight="1" thickBot="1">
      <c r="B47" s="203" t="s">
        <v>98</v>
      </c>
      <c r="C47" s="204"/>
      <c r="D47" s="114">
        <f>D11+D16+D17+D30+D34+D35+D36</f>
        <v>1763311.5899999999</v>
      </c>
      <c r="E47" s="70"/>
      <c r="F47" s="70"/>
      <c r="G47" s="71"/>
      <c r="H47" s="70"/>
    </row>
    <row r="48" spans="2:8" ht="0.75" customHeight="1">
      <c r="B48" s="161"/>
      <c r="C48" s="161"/>
      <c r="D48" s="30"/>
    </row>
    <row r="49" spans="2:7">
      <c r="B49" s="179"/>
      <c r="C49" s="179"/>
      <c r="D49" s="6"/>
      <c r="G49" s="4"/>
    </row>
  </sheetData>
  <mergeCells count="47">
    <mergeCell ref="B1:D1"/>
    <mergeCell ref="B22:C22"/>
    <mergeCell ref="B47:C47"/>
    <mergeCell ref="B38:C38"/>
    <mergeCell ref="B39:C39"/>
    <mergeCell ref="B40:C40"/>
    <mergeCell ref="B34:C34"/>
    <mergeCell ref="B27:C27"/>
    <mergeCell ref="B31:C31"/>
    <mergeCell ref="B46:C46"/>
    <mergeCell ref="B41:C41"/>
    <mergeCell ref="B42:C42"/>
    <mergeCell ref="B43:C43"/>
    <mergeCell ref="B44:C44"/>
    <mergeCell ref="B45:C45"/>
    <mergeCell ref="B7:C7"/>
    <mergeCell ref="B49:C49"/>
    <mergeCell ref="B2:C2"/>
    <mergeCell ref="B3:C3"/>
    <mergeCell ref="B4:C4"/>
    <mergeCell ref="B5:C5"/>
    <mergeCell ref="B6:C6"/>
    <mergeCell ref="B29:C29"/>
    <mergeCell ref="B20:C20"/>
    <mergeCell ref="B30:C30"/>
    <mergeCell ref="B21:C21"/>
    <mergeCell ref="B36:C36"/>
    <mergeCell ref="B37:C37"/>
    <mergeCell ref="B18:C18"/>
    <mergeCell ref="B35:C35"/>
    <mergeCell ref="B11:C11"/>
    <mergeCell ref="B15:C15"/>
    <mergeCell ref="B48:C48"/>
    <mergeCell ref="B10:C10"/>
    <mergeCell ref="B23:C23"/>
    <mergeCell ref="B28:C28"/>
    <mergeCell ref="B12:C12"/>
    <mergeCell ref="B13:C13"/>
    <mergeCell ref="B14:C14"/>
    <mergeCell ref="B16:C16"/>
    <mergeCell ref="B17:C17"/>
    <mergeCell ref="B33:C33"/>
    <mergeCell ref="B32:C32"/>
    <mergeCell ref="B19:C19"/>
    <mergeCell ref="B26:C26"/>
    <mergeCell ref="B25:C25"/>
    <mergeCell ref="B24:C24"/>
  </mergeCells>
  <pageMargins left="0.11811023622047245" right="0.11811023622047245" top="0.15748031496062992" bottom="0.15748031496062992" header="0" footer="0"/>
  <pageSetup paperSize="9" scale="9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4"/>
  <sheetViews>
    <sheetView topLeftCell="A31" workbookViewId="0">
      <selection activeCell="C50" sqref="C50"/>
    </sheetView>
  </sheetViews>
  <sheetFormatPr defaultRowHeight="15"/>
  <cols>
    <col min="1" max="1" width="4.28515625" customWidth="1"/>
    <col min="3" max="3" width="71.7109375" customWidth="1"/>
    <col min="4" max="4" width="15" customWidth="1"/>
    <col min="6" max="6" width="14.140625" customWidth="1"/>
  </cols>
  <sheetData>
    <row r="1" spans="2:6" ht="33.75" customHeight="1" thickBot="1">
      <c r="B1" s="199" t="s">
        <v>156</v>
      </c>
      <c r="C1" s="200"/>
      <c r="D1" s="201"/>
    </row>
    <row r="2" spans="2:6" ht="19.5" customHeight="1" thickBot="1">
      <c r="B2" s="282" t="s">
        <v>43</v>
      </c>
      <c r="C2" s="282"/>
      <c r="D2" s="98" t="s">
        <v>23</v>
      </c>
    </row>
    <row r="3" spans="2:6" ht="19.5" customHeight="1">
      <c r="B3" s="246" t="s">
        <v>58</v>
      </c>
      <c r="C3" s="247"/>
      <c r="D3" s="145">
        <v>44338.59</v>
      </c>
    </row>
    <row r="4" spans="2:6" ht="19.5" customHeight="1">
      <c r="B4" s="240" t="s">
        <v>49</v>
      </c>
      <c r="C4" s="241"/>
      <c r="D4" s="103">
        <v>535052.56000000006</v>
      </c>
    </row>
    <row r="5" spans="2:6" ht="19.5" customHeight="1">
      <c r="B5" s="240" t="s">
        <v>28</v>
      </c>
      <c r="C5" s="241"/>
      <c r="D5" s="103">
        <v>519391.16</v>
      </c>
    </row>
    <row r="6" spans="2:6" ht="19.5" customHeight="1" thickBot="1">
      <c r="B6" s="242" t="s">
        <v>59</v>
      </c>
      <c r="C6" s="243"/>
      <c r="D6" s="107">
        <f>D3+D4-D5</f>
        <v>59999.990000000049</v>
      </c>
    </row>
    <row r="7" spans="2:6" ht="19.5" customHeight="1" thickBot="1">
      <c r="B7" s="244" t="s">
        <v>97</v>
      </c>
      <c r="C7" s="245"/>
      <c r="D7" s="159">
        <f>D5</f>
        <v>519391.16</v>
      </c>
      <c r="E7" s="70"/>
      <c r="F7" s="70"/>
    </row>
    <row r="8" spans="2:6" ht="19.5" customHeight="1" thickBot="1">
      <c r="B8" s="249" t="s">
        <v>44</v>
      </c>
      <c r="C8" s="250"/>
      <c r="D8" s="56" t="s">
        <v>23</v>
      </c>
      <c r="E8" s="70"/>
      <c r="F8" s="70"/>
    </row>
    <row r="9" spans="2:6" ht="19.5" customHeight="1">
      <c r="B9" s="195" t="s">
        <v>8</v>
      </c>
      <c r="C9" s="196"/>
      <c r="D9" s="53">
        <f>D10+D11+D12+D13+D14</f>
        <v>172502.31999999998</v>
      </c>
      <c r="E9" s="70"/>
      <c r="F9" s="70"/>
    </row>
    <row r="10" spans="2:6" ht="19.5" customHeight="1">
      <c r="B10" s="192" t="s">
        <v>2</v>
      </c>
      <c r="C10" s="167"/>
      <c r="D10" s="39">
        <v>134739</v>
      </c>
      <c r="E10" s="70"/>
      <c r="F10" s="70"/>
    </row>
    <row r="11" spans="2:6" ht="19.5" customHeight="1">
      <c r="B11" s="164" t="s">
        <v>99</v>
      </c>
      <c r="C11" s="168"/>
      <c r="D11" s="39">
        <f>161956.28-D10</f>
        <v>27217.279999999999</v>
      </c>
      <c r="E11" s="70"/>
      <c r="F11" s="70"/>
    </row>
    <row r="12" spans="2:6" ht="19.5" customHeight="1">
      <c r="B12" s="164" t="s">
        <v>105</v>
      </c>
      <c r="C12" s="165"/>
      <c r="D12" s="39">
        <v>2785.11</v>
      </c>
      <c r="E12" s="70"/>
      <c r="F12" s="70"/>
    </row>
    <row r="13" spans="2:6" ht="19.5" customHeight="1">
      <c r="B13" s="166" t="s">
        <v>40</v>
      </c>
      <c r="C13" s="217"/>
      <c r="D13" s="39">
        <v>1950</v>
      </c>
      <c r="E13" s="70"/>
      <c r="F13" s="71"/>
    </row>
    <row r="14" spans="2:6" ht="19.5" customHeight="1" thickBot="1">
      <c r="B14" s="188" t="s">
        <v>124</v>
      </c>
      <c r="C14" s="189"/>
      <c r="D14" s="39">
        <v>5810.93</v>
      </c>
      <c r="E14" s="70"/>
      <c r="F14" s="71"/>
    </row>
    <row r="15" spans="2:6" ht="19.5" customHeight="1" thickBot="1">
      <c r="B15" s="214" t="s">
        <v>4</v>
      </c>
      <c r="C15" s="215"/>
      <c r="D15" s="40">
        <v>39997.440000000002</v>
      </c>
      <c r="E15" s="70"/>
      <c r="F15" s="70"/>
    </row>
    <row r="16" spans="2:6" ht="19.5" customHeight="1">
      <c r="B16" s="171" t="s">
        <v>14</v>
      </c>
      <c r="C16" s="172"/>
      <c r="D16" s="38">
        <f>D17+D18+D19+D20+D22+D23+D24+D25+D26+D27+D21</f>
        <v>199456.72</v>
      </c>
      <c r="E16" s="70"/>
      <c r="F16" s="70"/>
    </row>
    <row r="17" spans="2:6" ht="19.5" customHeight="1">
      <c r="B17" s="175" t="s">
        <v>122</v>
      </c>
      <c r="C17" s="176"/>
      <c r="D17" s="75">
        <f>15760.4-D12-D18-1578.85</f>
        <v>7425.5599999999995</v>
      </c>
      <c r="E17" s="70"/>
      <c r="F17" s="70"/>
    </row>
    <row r="18" spans="2:6" ht="19.5" customHeight="1">
      <c r="B18" s="223" t="s">
        <v>5</v>
      </c>
      <c r="C18" s="224"/>
      <c r="D18" s="76">
        <v>3970.88</v>
      </c>
      <c r="E18" s="70"/>
      <c r="F18" s="70"/>
    </row>
    <row r="19" spans="2:6" ht="19.5" customHeight="1">
      <c r="B19" s="212" t="s">
        <v>117</v>
      </c>
      <c r="C19" s="213"/>
      <c r="D19" s="65">
        <v>127277.43</v>
      </c>
      <c r="E19" s="70"/>
      <c r="F19" s="70"/>
    </row>
    <row r="20" spans="2:6" ht="19.5" customHeight="1">
      <c r="B20" s="192" t="s">
        <v>99</v>
      </c>
      <c r="C20" s="167"/>
      <c r="D20" s="66">
        <v>25616.11</v>
      </c>
      <c r="E20" s="70"/>
      <c r="F20" s="70"/>
    </row>
    <row r="21" spans="2:6" ht="19.5" customHeight="1">
      <c r="B21" s="149" t="s">
        <v>96</v>
      </c>
      <c r="C21" s="148"/>
      <c r="D21" s="66">
        <v>2540.9</v>
      </c>
      <c r="E21" s="70"/>
      <c r="F21" s="70"/>
    </row>
    <row r="22" spans="2:6" ht="19.5" customHeight="1">
      <c r="B22" s="164" t="s">
        <v>36</v>
      </c>
      <c r="C22" s="165"/>
      <c r="D22" s="66">
        <f>1478.85+100+1552.54</f>
        <v>3131.39</v>
      </c>
      <c r="E22" s="70"/>
      <c r="F22" s="70"/>
    </row>
    <row r="23" spans="2:6" ht="19.5" customHeight="1">
      <c r="B23" s="166" t="s">
        <v>19</v>
      </c>
      <c r="C23" s="248"/>
      <c r="D23" s="66">
        <v>11568.89</v>
      </c>
      <c r="E23" s="70"/>
      <c r="F23" s="70"/>
    </row>
    <row r="24" spans="2:6" ht="19.5" customHeight="1">
      <c r="B24" s="166" t="s">
        <v>33</v>
      </c>
      <c r="C24" s="167"/>
      <c r="D24" s="66">
        <f>250+506.74</f>
        <v>756.74</v>
      </c>
      <c r="E24" s="70"/>
      <c r="F24" s="70"/>
    </row>
    <row r="25" spans="2:6" ht="19.5" customHeight="1">
      <c r="B25" s="164" t="s">
        <v>41</v>
      </c>
      <c r="C25" s="165"/>
      <c r="D25" s="66">
        <v>2974.5</v>
      </c>
      <c r="E25" s="70"/>
      <c r="F25" s="70"/>
    </row>
    <row r="26" spans="2:6" ht="19.5" customHeight="1">
      <c r="B26" s="175" t="s">
        <v>123</v>
      </c>
      <c r="C26" s="176"/>
      <c r="D26" s="66">
        <f>720+1234.32</f>
        <v>1954.32</v>
      </c>
      <c r="E26" s="70"/>
      <c r="F26" s="70"/>
    </row>
    <row r="27" spans="2:6" ht="19.5" customHeight="1" thickBot="1">
      <c r="B27" s="166" t="s">
        <v>155</v>
      </c>
      <c r="C27" s="217"/>
      <c r="D27" s="81">
        <v>12240</v>
      </c>
      <c r="E27" s="70"/>
      <c r="F27" s="70"/>
    </row>
    <row r="28" spans="2:6" ht="19.5" customHeight="1" thickBot="1">
      <c r="B28" s="193" t="s">
        <v>42</v>
      </c>
      <c r="C28" s="205"/>
      <c r="D28" s="43">
        <v>249.32</v>
      </c>
      <c r="E28" s="70"/>
      <c r="F28" s="70"/>
    </row>
    <row r="29" spans="2:6" ht="19.5" customHeight="1" thickBot="1">
      <c r="B29" s="193" t="s">
        <v>142</v>
      </c>
      <c r="C29" s="194"/>
      <c r="D29" s="40">
        <v>1566.76</v>
      </c>
      <c r="E29" s="70"/>
      <c r="F29" s="70"/>
    </row>
    <row r="30" spans="2:6" ht="19.5" customHeight="1">
      <c r="B30" s="171" t="s">
        <v>24</v>
      </c>
      <c r="C30" s="172"/>
      <c r="D30" s="38">
        <f>D31+D32+D33+D34+D35+D36+D37+D38+D39+D40</f>
        <v>127102.24999999996</v>
      </c>
      <c r="E30" s="70"/>
      <c r="F30" s="70"/>
    </row>
    <row r="31" spans="2:6" ht="19.5" customHeight="1">
      <c r="B31" s="175" t="s">
        <v>139</v>
      </c>
      <c r="C31" s="176"/>
      <c r="D31" s="66">
        <v>66675.789999999994</v>
      </c>
      <c r="E31" s="70"/>
      <c r="F31" s="70"/>
    </row>
    <row r="32" spans="2:6" ht="19.5" customHeight="1">
      <c r="B32" s="164" t="s">
        <v>99</v>
      </c>
      <c r="C32" s="168"/>
      <c r="D32" s="66">
        <v>13451.82</v>
      </c>
      <c r="E32" s="70"/>
      <c r="F32" s="70"/>
    </row>
    <row r="33" spans="2:6" ht="19.5" customHeight="1">
      <c r="B33" s="164" t="s">
        <v>101</v>
      </c>
      <c r="C33" s="168"/>
      <c r="D33" s="66">
        <v>22517.119999999999</v>
      </c>
      <c r="E33" s="70"/>
      <c r="F33" s="70"/>
    </row>
    <row r="34" spans="2:6" ht="19.5" customHeight="1">
      <c r="B34" s="164" t="s">
        <v>102</v>
      </c>
      <c r="C34" s="168"/>
      <c r="D34" s="66">
        <v>2219.1799999999998</v>
      </c>
      <c r="E34" s="70"/>
      <c r="F34" s="70"/>
    </row>
    <row r="35" spans="2:6" ht="19.5" customHeight="1">
      <c r="B35" s="164" t="s">
        <v>1</v>
      </c>
      <c r="C35" s="168"/>
      <c r="D35" s="66">
        <v>5366.81</v>
      </c>
      <c r="E35" s="70"/>
      <c r="F35" s="70"/>
    </row>
    <row r="36" spans="2:6" ht="19.5" customHeight="1">
      <c r="B36" s="192" t="s">
        <v>103</v>
      </c>
      <c r="C36" s="167"/>
      <c r="D36" s="66">
        <v>1737.68</v>
      </c>
      <c r="E36" s="70"/>
      <c r="F36" s="70"/>
    </row>
    <row r="37" spans="2:6" ht="19.5" customHeight="1">
      <c r="B37" s="192" t="s">
        <v>0</v>
      </c>
      <c r="C37" s="167"/>
      <c r="D37" s="66">
        <v>528.45000000000005</v>
      </c>
      <c r="E37" s="70"/>
      <c r="F37" s="70"/>
    </row>
    <row r="38" spans="2:6" ht="19.5" customHeight="1">
      <c r="B38" s="192" t="s">
        <v>109</v>
      </c>
      <c r="C38" s="167"/>
      <c r="D38" s="66">
        <v>653.55999999999995</v>
      </c>
      <c r="E38" s="70"/>
      <c r="F38" s="70"/>
    </row>
    <row r="39" spans="2:6" ht="19.5" customHeight="1">
      <c r="B39" s="192" t="s">
        <v>13</v>
      </c>
      <c r="C39" s="167"/>
      <c r="D39" s="66">
        <v>1199.45</v>
      </c>
      <c r="E39" s="70"/>
      <c r="F39" s="70"/>
    </row>
    <row r="40" spans="2:6" ht="19.5" customHeight="1" thickBot="1">
      <c r="B40" s="192" t="s">
        <v>104</v>
      </c>
      <c r="C40" s="167"/>
      <c r="D40" s="81">
        <v>12752.39</v>
      </c>
      <c r="E40" s="70"/>
      <c r="F40" s="70"/>
    </row>
    <row r="41" spans="2:6" ht="19.5" customHeight="1" thickBot="1">
      <c r="B41" s="208" t="s">
        <v>98</v>
      </c>
      <c r="C41" s="209"/>
      <c r="D41" s="141">
        <f>D9+D15+D16+D28+D29+D30</f>
        <v>540874.80999999994</v>
      </c>
      <c r="E41" s="70"/>
      <c r="F41" s="71"/>
    </row>
    <row r="42" spans="2:6" hidden="1">
      <c r="B42" s="230"/>
      <c r="C42" s="230"/>
      <c r="D42" s="31"/>
    </row>
    <row r="43" spans="2:6">
      <c r="B43" s="230"/>
      <c r="C43" s="230"/>
      <c r="D43" s="31"/>
    </row>
    <row r="44" spans="2:6">
      <c r="B44" s="2"/>
      <c r="C44" s="2"/>
      <c r="D44" s="2"/>
    </row>
  </sheetData>
  <mergeCells count="42">
    <mergeCell ref="B41:C41"/>
    <mergeCell ref="B42:C42"/>
    <mergeCell ref="B43:C43"/>
    <mergeCell ref="B24:C24"/>
    <mergeCell ref="B26:C26"/>
    <mergeCell ref="B40:C40"/>
    <mergeCell ref="B27:C27"/>
    <mergeCell ref="B30:C30"/>
    <mergeCell ref="B31:C31"/>
    <mergeCell ref="B37:C37"/>
    <mergeCell ref="B38:C38"/>
    <mergeCell ref="B39:C39"/>
    <mergeCell ref="B32:C32"/>
    <mergeCell ref="B33:C33"/>
    <mergeCell ref="B34:C34"/>
    <mergeCell ref="B36:C36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3:C3"/>
    <mergeCell ref="B28:C28"/>
    <mergeCell ref="B35:C35"/>
    <mergeCell ref="B18:C18"/>
    <mergeCell ref="B7:C7"/>
    <mergeCell ref="B29:C29"/>
    <mergeCell ref="B19:C19"/>
    <mergeCell ref="B20:C20"/>
    <mergeCell ref="B22:C22"/>
    <mergeCell ref="B23:C23"/>
    <mergeCell ref="B12:C12"/>
    <mergeCell ref="B14:C14"/>
    <mergeCell ref="B15:C15"/>
    <mergeCell ref="B16:C16"/>
    <mergeCell ref="B17:C17"/>
    <mergeCell ref="B13:C13"/>
    <mergeCell ref="B25:C25"/>
  </mergeCells>
  <pageMargins left="0.11811023622047245" right="0.11811023622047245" top="0.15748031496062992" bottom="0.15748031496062992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opLeftCell="A10" workbookViewId="0">
      <selection activeCell="B32" sqref="B32:C32"/>
    </sheetView>
  </sheetViews>
  <sheetFormatPr defaultRowHeight="15"/>
  <cols>
    <col min="1" max="1" width="4.28515625" customWidth="1"/>
    <col min="3" max="3" width="70.7109375" customWidth="1"/>
    <col min="4" max="4" width="17.5703125" customWidth="1"/>
    <col min="6" max="6" width="13.140625" customWidth="1"/>
  </cols>
  <sheetData>
    <row r="1" spans="2:6" ht="39" customHeight="1" thickBot="1">
      <c r="B1" s="199" t="s">
        <v>157</v>
      </c>
      <c r="C1" s="200"/>
      <c r="D1" s="201"/>
    </row>
    <row r="2" spans="2:6" ht="19.5" customHeight="1" thickBot="1">
      <c r="B2" s="276" t="s">
        <v>43</v>
      </c>
      <c r="C2" s="277"/>
      <c r="D2" s="98" t="s">
        <v>23</v>
      </c>
    </row>
    <row r="3" spans="2:6" ht="19.5" customHeight="1">
      <c r="B3" s="285" t="s">
        <v>58</v>
      </c>
      <c r="C3" s="286"/>
      <c r="D3" s="145">
        <v>97598.68</v>
      </c>
    </row>
    <row r="4" spans="2:6" ht="19.5" customHeight="1">
      <c r="B4" s="240" t="s">
        <v>49</v>
      </c>
      <c r="C4" s="241"/>
      <c r="D4" s="103">
        <v>901032.12</v>
      </c>
    </row>
    <row r="5" spans="2:6" ht="19.5" customHeight="1">
      <c r="B5" s="240" t="s">
        <v>28</v>
      </c>
      <c r="C5" s="241"/>
      <c r="D5" s="103">
        <v>895251.54</v>
      </c>
    </row>
    <row r="6" spans="2:6" ht="19.5" customHeight="1" thickBot="1">
      <c r="B6" s="283" t="s">
        <v>59</v>
      </c>
      <c r="C6" s="284"/>
      <c r="D6" s="108">
        <f>D3+D4-D5</f>
        <v>103379.26000000001</v>
      </c>
    </row>
    <row r="7" spans="2:6" ht="19.5" customHeight="1" thickBot="1">
      <c r="B7" s="244" t="s">
        <v>97</v>
      </c>
      <c r="C7" s="245"/>
      <c r="D7" s="157">
        <f>D5</f>
        <v>895251.54</v>
      </c>
    </row>
    <row r="8" spans="2:6" ht="19.5" customHeight="1" thickBot="1">
      <c r="B8" s="249" t="s">
        <v>44</v>
      </c>
      <c r="C8" s="250"/>
      <c r="D8" s="56" t="s">
        <v>23</v>
      </c>
    </row>
    <row r="9" spans="2:6" ht="19.5" customHeight="1">
      <c r="B9" s="195" t="s">
        <v>8</v>
      </c>
      <c r="C9" s="196"/>
      <c r="D9" s="53">
        <f>D10+D11+D12+D13+D14</f>
        <v>304824.03000000003</v>
      </c>
      <c r="E9" s="70"/>
      <c r="F9" s="70"/>
    </row>
    <row r="10" spans="2:6" ht="19.5" customHeight="1">
      <c r="B10" s="192" t="s">
        <v>2</v>
      </c>
      <c r="C10" s="167"/>
      <c r="D10" s="39">
        <v>242314.82</v>
      </c>
      <c r="E10" s="70"/>
      <c r="F10" s="70"/>
    </row>
    <row r="11" spans="2:6" ht="19.5" customHeight="1">
      <c r="B11" s="164" t="s">
        <v>99</v>
      </c>
      <c r="C11" s="168"/>
      <c r="D11" s="39">
        <f>290975.21-D10</f>
        <v>48660.390000000014</v>
      </c>
      <c r="E11" s="70"/>
      <c r="F11" s="70"/>
    </row>
    <row r="12" spans="2:6" ht="19.5" customHeight="1">
      <c r="B12" s="164" t="s">
        <v>105</v>
      </c>
      <c r="C12" s="165"/>
      <c r="D12" s="39">
        <v>5012.7</v>
      </c>
      <c r="E12" s="70"/>
      <c r="F12" s="70"/>
    </row>
    <row r="13" spans="2:6" ht="19.5" customHeight="1">
      <c r="B13" s="166" t="s">
        <v>40</v>
      </c>
      <c r="C13" s="217"/>
      <c r="D13" s="39">
        <v>2600</v>
      </c>
      <c r="E13" s="70"/>
      <c r="F13" s="70"/>
    </row>
    <row r="14" spans="2:6" ht="19.5" customHeight="1" thickBot="1">
      <c r="B14" s="164" t="s">
        <v>72</v>
      </c>
      <c r="C14" s="165"/>
      <c r="D14" s="39">
        <v>6236.12</v>
      </c>
      <c r="E14" s="70"/>
      <c r="F14" s="71"/>
    </row>
    <row r="15" spans="2:6" ht="19.5" customHeight="1" thickBot="1">
      <c r="B15" s="214" t="s">
        <v>4</v>
      </c>
      <c r="C15" s="215"/>
      <c r="D15" s="44">
        <v>61278.12</v>
      </c>
      <c r="E15" s="70"/>
      <c r="F15" s="70"/>
    </row>
    <row r="16" spans="2:6" ht="19.5" customHeight="1">
      <c r="B16" s="171" t="s">
        <v>14</v>
      </c>
      <c r="C16" s="172"/>
      <c r="D16" s="38">
        <f>D17+D18+D19+D20+D22+D23+D24+D25+D26+D27+D28+D21</f>
        <v>361677.57999999996</v>
      </c>
      <c r="E16" s="70"/>
      <c r="F16" s="70"/>
    </row>
    <row r="17" spans="2:6" ht="19.5" customHeight="1">
      <c r="B17" s="175" t="s">
        <v>122</v>
      </c>
      <c r="C17" s="176"/>
      <c r="D17" s="75">
        <f>16583.28-D12-D18-1227.52</f>
        <v>8563.6999999999971</v>
      </c>
      <c r="E17" s="70"/>
      <c r="F17" s="70"/>
    </row>
    <row r="18" spans="2:6" ht="19.5" customHeight="1">
      <c r="B18" s="223" t="s">
        <v>5</v>
      </c>
      <c r="C18" s="224"/>
      <c r="D18" s="76">
        <v>1779.36</v>
      </c>
      <c r="E18" s="70"/>
      <c r="F18" s="70"/>
    </row>
    <row r="19" spans="2:6" ht="19.5" customHeight="1">
      <c r="B19" s="212" t="s">
        <v>117</v>
      </c>
      <c r="C19" s="213"/>
      <c r="D19" s="65">
        <v>214409.86</v>
      </c>
      <c r="E19" s="70"/>
      <c r="F19" s="70"/>
    </row>
    <row r="20" spans="2:6" ht="19.5" customHeight="1">
      <c r="B20" s="192" t="s">
        <v>99</v>
      </c>
      <c r="C20" s="167"/>
      <c r="D20" s="66">
        <v>43152.56</v>
      </c>
      <c r="E20" s="70"/>
      <c r="F20" s="70"/>
    </row>
    <row r="21" spans="2:6" ht="19.5" customHeight="1">
      <c r="B21" s="149" t="s">
        <v>96</v>
      </c>
      <c r="C21" s="148"/>
      <c r="D21" s="66">
        <v>4275.46</v>
      </c>
      <c r="E21" s="70"/>
      <c r="F21" s="70"/>
    </row>
    <row r="22" spans="2:6" ht="19.5" customHeight="1">
      <c r="B22" s="164" t="s">
        <v>36</v>
      </c>
      <c r="C22" s="165"/>
      <c r="D22" s="66">
        <f>1127.52+100+2612.4</f>
        <v>3839.92</v>
      </c>
      <c r="E22" s="70"/>
      <c r="F22" s="70"/>
    </row>
    <row r="23" spans="2:6" ht="19.5" customHeight="1">
      <c r="B23" s="164" t="s">
        <v>41</v>
      </c>
      <c r="C23" s="165"/>
      <c r="D23" s="66">
        <v>3950.63</v>
      </c>
      <c r="E23" s="70"/>
      <c r="F23" s="70"/>
    </row>
    <row r="24" spans="2:6" ht="19.5" customHeight="1">
      <c r="B24" s="166" t="s">
        <v>19</v>
      </c>
      <c r="C24" s="248"/>
      <c r="D24" s="66">
        <v>19466.48</v>
      </c>
      <c r="E24" s="70"/>
      <c r="F24" s="70"/>
    </row>
    <row r="25" spans="2:6" ht="19.5" customHeight="1">
      <c r="B25" s="166" t="s">
        <v>152</v>
      </c>
      <c r="C25" s="217"/>
      <c r="D25" s="66">
        <v>21360</v>
      </c>
      <c r="E25" s="70"/>
      <c r="F25" s="70"/>
    </row>
    <row r="26" spans="2:6" ht="19.5" customHeight="1">
      <c r="B26" s="166" t="s">
        <v>33</v>
      </c>
      <c r="C26" s="167"/>
      <c r="D26" s="66">
        <v>852.67</v>
      </c>
      <c r="E26" s="70"/>
      <c r="F26" s="70"/>
    </row>
    <row r="27" spans="2:6" ht="18" customHeight="1">
      <c r="B27" s="175" t="s">
        <v>125</v>
      </c>
      <c r="C27" s="176"/>
      <c r="D27" s="66">
        <v>2076.94</v>
      </c>
      <c r="E27" s="70"/>
      <c r="F27" s="70"/>
    </row>
    <row r="28" spans="2:6" ht="19.5" customHeight="1" thickBot="1">
      <c r="B28" s="188" t="s">
        <v>87</v>
      </c>
      <c r="C28" s="189"/>
      <c r="D28" s="81">
        <v>37950</v>
      </c>
      <c r="E28" s="70"/>
      <c r="F28" s="70"/>
    </row>
    <row r="29" spans="2:6" ht="19.5" customHeight="1" thickBot="1">
      <c r="B29" s="268" t="s">
        <v>42</v>
      </c>
      <c r="C29" s="269"/>
      <c r="D29" s="49">
        <v>419.52</v>
      </c>
      <c r="E29" s="70"/>
      <c r="F29" s="70"/>
    </row>
    <row r="30" spans="2:6" ht="19.5" customHeight="1" thickBot="1">
      <c r="B30" s="268" t="s">
        <v>142</v>
      </c>
      <c r="C30" s="287"/>
      <c r="D30" s="40">
        <v>2636.32</v>
      </c>
      <c r="E30" s="70"/>
      <c r="F30" s="70"/>
    </row>
    <row r="31" spans="2:6" ht="19.5" customHeight="1">
      <c r="B31" s="171" t="s">
        <v>24</v>
      </c>
      <c r="C31" s="172"/>
      <c r="D31" s="38">
        <f>D32+D33+D34+D35+D36+D37+D38+D39+D40+D41</f>
        <v>213869.42000000004</v>
      </c>
      <c r="E31" s="70"/>
      <c r="F31" s="70"/>
    </row>
    <row r="32" spans="2:6" ht="19.5" customHeight="1">
      <c r="B32" s="175" t="s">
        <v>139</v>
      </c>
      <c r="C32" s="176"/>
      <c r="D32" s="66">
        <v>112192.47</v>
      </c>
      <c r="E32" s="70"/>
      <c r="F32" s="70"/>
    </row>
    <row r="33" spans="2:6" ht="19.5" customHeight="1">
      <c r="B33" s="164" t="s">
        <v>100</v>
      </c>
      <c r="C33" s="168"/>
      <c r="D33" s="66">
        <v>22634.79</v>
      </c>
      <c r="E33" s="70"/>
      <c r="F33" s="70"/>
    </row>
    <row r="34" spans="2:6" ht="19.5" customHeight="1">
      <c r="B34" s="164" t="s">
        <v>101</v>
      </c>
      <c r="C34" s="168"/>
      <c r="D34" s="66">
        <v>37888.58</v>
      </c>
      <c r="E34" s="70"/>
      <c r="F34" s="70"/>
    </row>
    <row r="35" spans="2:6" ht="19.5" customHeight="1">
      <c r="B35" s="164" t="s">
        <v>102</v>
      </c>
      <c r="C35" s="168"/>
      <c r="D35" s="66">
        <v>3734.12</v>
      </c>
      <c r="E35" s="70"/>
      <c r="F35" s="70"/>
    </row>
    <row r="36" spans="2:6" ht="19.5" customHeight="1">
      <c r="B36" s="164" t="s">
        <v>1</v>
      </c>
      <c r="C36" s="168"/>
      <c r="D36" s="66">
        <v>9030.49</v>
      </c>
      <c r="E36" s="70"/>
      <c r="F36" s="70"/>
    </row>
    <row r="37" spans="2:6" ht="19.5" customHeight="1">
      <c r="B37" s="192" t="s">
        <v>103</v>
      </c>
      <c r="C37" s="167"/>
      <c r="D37" s="66">
        <v>2923.92</v>
      </c>
      <c r="E37" s="70"/>
      <c r="F37" s="70"/>
    </row>
    <row r="38" spans="2:6" ht="19.5" customHeight="1">
      <c r="B38" s="192" t="s">
        <v>0</v>
      </c>
      <c r="C38" s="167"/>
      <c r="D38" s="66">
        <v>889.2</v>
      </c>
      <c r="E38" s="70"/>
      <c r="F38" s="70"/>
    </row>
    <row r="39" spans="2:6" ht="19.5" customHeight="1">
      <c r="B39" s="192" t="s">
        <v>109</v>
      </c>
      <c r="C39" s="167"/>
      <c r="D39" s="66">
        <v>1099.72</v>
      </c>
      <c r="E39" s="70"/>
      <c r="F39" s="70"/>
    </row>
    <row r="40" spans="2:6" ht="19.5" customHeight="1">
      <c r="B40" s="192" t="s">
        <v>13</v>
      </c>
      <c r="C40" s="167"/>
      <c r="D40" s="66">
        <v>2018.23</v>
      </c>
      <c r="E40" s="70"/>
      <c r="F40" s="70"/>
    </row>
    <row r="41" spans="2:6" ht="19.5" customHeight="1" thickBot="1">
      <c r="B41" s="192" t="s">
        <v>104</v>
      </c>
      <c r="C41" s="167"/>
      <c r="D41" s="81">
        <v>21457.9</v>
      </c>
      <c r="E41" s="70"/>
      <c r="F41" s="70"/>
    </row>
    <row r="42" spans="2:6" ht="19.5" customHeight="1" thickBot="1">
      <c r="B42" s="138"/>
      <c r="C42" s="152" t="s">
        <v>98</v>
      </c>
      <c r="D42" s="118">
        <f>D9+D15+D16+D29+D30+D31</f>
        <v>944704.99</v>
      </c>
      <c r="E42" s="70"/>
      <c r="F42" s="71"/>
    </row>
    <row r="43" spans="2:6" ht="15.75" customHeight="1">
      <c r="B43" s="230"/>
      <c r="C43" s="230"/>
      <c r="D43" s="31"/>
    </row>
    <row r="44" spans="2:6" ht="18" customHeight="1">
      <c r="B44" s="230"/>
      <c r="C44" s="230"/>
      <c r="D44" s="31"/>
    </row>
    <row r="45" spans="2:6" ht="21" customHeight="1">
      <c r="B45" s="2"/>
      <c r="C45" s="2"/>
      <c r="D45" s="2"/>
    </row>
  </sheetData>
  <mergeCells count="42">
    <mergeCell ref="B43:C43"/>
    <mergeCell ref="B44:C44"/>
    <mergeCell ref="B26:C26"/>
    <mergeCell ref="B41:C41"/>
    <mergeCell ref="B24:C24"/>
    <mergeCell ref="B40:C40"/>
    <mergeCell ref="B34:C34"/>
    <mergeCell ref="B35:C35"/>
    <mergeCell ref="B36:C36"/>
    <mergeCell ref="B37:C37"/>
    <mergeCell ref="B38:C38"/>
    <mergeCell ref="B39:C39"/>
    <mergeCell ref="B27:C27"/>
    <mergeCell ref="B30:C30"/>
    <mergeCell ref="B31:C31"/>
    <mergeCell ref="B32:C32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3:C3"/>
    <mergeCell ref="B33:C33"/>
    <mergeCell ref="B7:C7"/>
    <mergeCell ref="B15:C15"/>
    <mergeCell ref="B23:C23"/>
    <mergeCell ref="B25:C25"/>
    <mergeCell ref="B14:C14"/>
    <mergeCell ref="B28:C28"/>
    <mergeCell ref="B13:C13"/>
    <mergeCell ref="B29:C29"/>
    <mergeCell ref="B12:C12"/>
    <mergeCell ref="B19:C19"/>
    <mergeCell ref="B20:C20"/>
    <mergeCell ref="B22:C22"/>
    <mergeCell ref="B16:C1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opLeftCell="A19" workbookViewId="0">
      <selection activeCell="B27" sqref="B27:C27"/>
    </sheetView>
  </sheetViews>
  <sheetFormatPr defaultRowHeight="15"/>
  <cols>
    <col min="1" max="1" width="5.140625" customWidth="1"/>
    <col min="3" max="3" width="73.28515625" customWidth="1"/>
    <col min="4" max="4" width="17.140625" customWidth="1"/>
    <col min="6" max="6" width="15.5703125" customWidth="1"/>
  </cols>
  <sheetData>
    <row r="1" spans="2:6" ht="36.75" customHeight="1" thickBot="1">
      <c r="B1" s="233" t="s">
        <v>158</v>
      </c>
      <c r="C1" s="234"/>
      <c r="D1" s="235"/>
    </row>
    <row r="2" spans="2:6" ht="19.5" customHeight="1" thickBot="1">
      <c r="B2" s="276" t="s">
        <v>43</v>
      </c>
      <c r="C2" s="277"/>
      <c r="D2" s="98" t="s">
        <v>23</v>
      </c>
    </row>
    <row r="3" spans="2:6" ht="19.5" customHeight="1">
      <c r="B3" s="246" t="s">
        <v>58</v>
      </c>
      <c r="C3" s="247"/>
      <c r="D3" s="145">
        <v>43016.56</v>
      </c>
    </row>
    <row r="4" spans="2:6" ht="19.5" customHeight="1">
      <c r="B4" s="240" t="s">
        <v>49</v>
      </c>
      <c r="C4" s="241"/>
      <c r="D4" s="103">
        <v>506050.56</v>
      </c>
    </row>
    <row r="5" spans="2:6" ht="19.5" customHeight="1">
      <c r="B5" s="240" t="s">
        <v>28</v>
      </c>
      <c r="C5" s="241"/>
      <c r="D5" s="103">
        <v>499199.62</v>
      </c>
    </row>
    <row r="6" spans="2:6" ht="19.5" customHeight="1" thickBot="1">
      <c r="B6" s="242" t="s">
        <v>59</v>
      </c>
      <c r="C6" s="243"/>
      <c r="D6" s="104">
        <f>D3+D4-D5</f>
        <v>49867.5</v>
      </c>
    </row>
    <row r="7" spans="2:6" ht="19.5" customHeight="1" thickBot="1">
      <c r="B7" s="244" t="s">
        <v>97</v>
      </c>
      <c r="C7" s="245"/>
      <c r="D7" s="157">
        <f>D5</f>
        <v>499199.62</v>
      </c>
    </row>
    <row r="8" spans="2:6" ht="19.5" customHeight="1" thickBot="1">
      <c r="B8" s="249" t="s">
        <v>44</v>
      </c>
      <c r="C8" s="250"/>
      <c r="D8" s="56" t="s">
        <v>23</v>
      </c>
    </row>
    <row r="9" spans="2:6" ht="19.5" customHeight="1">
      <c r="B9" s="195" t="s">
        <v>8</v>
      </c>
      <c r="C9" s="196"/>
      <c r="D9" s="38">
        <f>D10+D11+D12+D13+D14</f>
        <v>169642.41999999998</v>
      </c>
      <c r="E9" s="70"/>
      <c r="F9" s="71"/>
    </row>
    <row r="10" spans="2:6" ht="19.5" customHeight="1">
      <c r="B10" s="192" t="s">
        <v>2</v>
      </c>
      <c r="C10" s="167"/>
      <c r="D10" s="66">
        <v>134739</v>
      </c>
      <c r="E10" s="70"/>
      <c r="F10" s="71"/>
    </row>
    <row r="11" spans="2:6" ht="19.5" customHeight="1">
      <c r="B11" s="164" t="s">
        <v>99</v>
      </c>
      <c r="C11" s="168"/>
      <c r="D11" s="66">
        <f>161956.28-D10</f>
        <v>27217.279999999999</v>
      </c>
      <c r="E11" s="70"/>
      <c r="F11" s="70"/>
    </row>
    <row r="12" spans="2:6" ht="19.5" customHeight="1">
      <c r="B12" s="164" t="s">
        <v>105</v>
      </c>
      <c r="C12" s="165"/>
      <c r="D12" s="66">
        <v>3634.62</v>
      </c>
      <c r="E12" s="70"/>
      <c r="F12" s="70"/>
    </row>
    <row r="13" spans="2:6" ht="19.5" customHeight="1">
      <c r="B13" s="164" t="s">
        <v>72</v>
      </c>
      <c r="C13" s="165"/>
      <c r="D13" s="66">
        <v>3401.52</v>
      </c>
      <c r="E13" s="70"/>
      <c r="F13" s="70"/>
    </row>
    <row r="14" spans="2:6" ht="19.5" customHeight="1" thickBot="1">
      <c r="B14" s="188" t="s">
        <v>40</v>
      </c>
      <c r="C14" s="189"/>
      <c r="D14" s="81">
        <v>650</v>
      </c>
      <c r="E14" s="70"/>
      <c r="F14" s="70"/>
    </row>
    <row r="15" spans="2:6" ht="19.5" customHeight="1" thickBot="1">
      <c r="B15" s="169" t="s">
        <v>4</v>
      </c>
      <c r="C15" s="170"/>
      <c r="D15" s="44">
        <v>32976.18</v>
      </c>
      <c r="E15" s="70"/>
      <c r="F15" s="70"/>
    </row>
    <row r="16" spans="2:6" ht="19.5" customHeight="1">
      <c r="B16" s="171" t="s">
        <v>14</v>
      </c>
      <c r="C16" s="172"/>
      <c r="D16" s="53">
        <f>D17+D18+D19+D20+D22+D23+D24+D25+D26+D27+D28+D21</f>
        <v>186395.15</v>
      </c>
      <c r="E16" s="70"/>
      <c r="F16" s="70"/>
    </row>
    <row r="17" spans="2:6" ht="19.5" customHeight="1">
      <c r="B17" s="175" t="s">
        <v>126</v>
      </c>
      <c r="C17" s="176"/>
      <c r="D17" s="72">
        <f>16630.2-D12-D18-897.04</f>
        <v>8829.4500000000007</v>
      </c>
      <c r="E17" s="70"/>
      <c r="F17" s="70"/>
    </row>
    <row r="18" spans="2:6" ht="19.5" customHeight="1">
      <c r="B18" s="223" t="s">
        <v>5</v>
      </c>
      <c r="C18" s="224"/>
      <c r="D18" s="73">
        <v>3269.09</v>
      </c>
      <c r="E18" s="70"/>
      <c r="F18" s="70"/>
    </row>
    <row r="19" spans="2:6" ht="19.5" customHeight="1">
      <c r="B19" s="212" t="s">
        <v>117</v>
      </c>
      <c r="C19" s="213"/>
      <c r="D19" s="41">
        <v>120395.43</v>
      </c>
      <c r="E19" s="70"/>
      <c r="F19" s="70"/>
    </row>
    <row r="20" spans="2:6" ht="19.5" customHeight="1">
      <c r="B20" s="192" t="s">
        <v>99</v>
      </c>
      <c r="C20" s="167"/>
      <c r="D20" s="39">
        <v>24231.03</v>
      </c>
      <c r="E20" s="70"/>
      <c r="F20" s="70"/>
    </row>
    <row r="21" spans="2:6" ht="19.5" customHeight="1">
      <c r="B21" s="149" t="s">
        <v>96</v>
      </c>
      <c r="C21" s="148"/>
      <c r="D21" s="39">
        <v>2400.2600000000002</v>
      </c>
      <c r="E21" s="70"/>
      <c r="F21" s="70"/>
    </row>
    <row r="22" spans="2:6" ht="19.5" customHeight="1">
      <c r="B22" s="164" t="s">
        <v>32</v>
      </c>
      <c r="C22" s="165"/>
      <c r="D22" s="39">
        <f>797.04+100+1466.61</f>
        <v>2363.6499999999996</v>
      </c>
      <c r="E22" s="70"/>
      <c r="F22" s="70"/>
    </row>
    <row r="23" spans="2:6" ht="19.5" customHeight="1">
      <c r="B23" s="166" t="s">
        <v>19</v>
      </c>
      <c r="C23" s="248"/>
      <c r="D23" s="39">
        <v>10928.55</v>
      </c>
      <c r="E23" s="70"/>
      <c r="F23" s="70"/>
    </row>
    <row r="24" spans="2:6" ht="19.5" customHeight="1">
      <c r="B24" s="166" t="s">
        <v>33</v>
      </c>
      <c r="C24" s="167"/>
      <c r="D24" s="39">
        <v>478.69</v>
      </c>
      <c r="E24" s="70"/>
      <c r="F24" s="70"/>
    </row>
    <row r="25" spans="2:6" ht="19.5" customHeight="1">
      <c r="B25" s="164" t="s">
        <v>41</v>
      </c>
      <c r="C25" s="165"/>
      <c r="D25" s="39">
        <v>2013</v>
      </c>
      <c r="E25" s="70"/>
      <c r="F25" s="70"/>
    </row>
    <row r="26" spans="2:6" ht="19.5" customHeight="1">
      <c r="B26" s="166" t="s">
        <v>152</v>
      </c>
      <c r="C26" s="217"/>
      <c r="D26" s="39">
        <v>4320</v>
      </c>
      <c r="E26" s="70"/>
      <c r="F26" s="70"/>
    </row>
    <row r="27" spans="2:6" ht="19.5" customHeight="1">
      <c r="B27" s="164" t="s">
        <v>83</v>
      </c>
      <c r="C27" s="165"/>
      <c r="D27" s="39">
        <v>6000</v>
      </c>
      <c r="E27" s="70"/>
      <c r="F27" s="70"/>
    </row>
    <row r="28" spans="2:6" ht="19.5" customHeight="1" thickBot="1">
      <c r="B28" s="173" t="s">
        <v>123</v>
      </c>
      <c r="C28" s="174"/>
      <c r="D28" s="39">
        <v>1166</v>
      </c>
      <c r="E28" s="70"/>
      <c r="F28" s="70"/>
    </row>
    <row r="29" spans="2:6" ht="19.5" customHeight="1" thickBot="1">
      <c r="B29" s="193" t="s">
        <v>42</v>
      </c>
      <c r="C29" s="205"/>
      <c r="D29" s="40">
        <v>235.52</v>
      </c>
      <c r="E29" s="70"/>
      <c r="F29" s="70"/>
    </row>
    <row r="30" spans="2:6" ht="19.5" customHeight="1" thickBot="1">
      <c r="B30" s="193" t="s">
        <v>142</v>
      </c>
      <c r="C30" s="194"/>
      <c r="D30" s="40">
        <v>1480.04</v>
      </c>
      <c r="E30" s="70"/>
      <c r="F30" s="70"/>
    </row>
    <row r="31" spans="2:6" ht="19.5" customHeight="1">
      <c r="B31" s="171" t="s">
        <v>24</v>
      </c>
      <c r="C31" s="172"/>
      <c r="D31" s="38">
        <f>D32+D33+D34+D35+D36+D37+D38+D39+D40+D41</f>
        <v>120067.06</v>
      </c>
      <c r="E31" s="70"/>
      <c r="F31" s="70"/>
    </row>
    <row r="32" spans="2:6" ht="19.5" customHeight="1">
      <c r="B32" s="175" t="s">
        <v>139</v>
      </c>
      <c r="C32" s="176"/>
      <c r="D32" s="66">
        <v>62985.24</v>
      </c>
      <c r="E32" s="70"/>
      <c r="F32" s="70"/>
    </row>
    <row r="33" spans="2:6" ht="19.5" customHeight="1">
      <c r="B33" s="164" t="s">
        <v>99</v>
      </c>
      <c r="C33" s="168"/>
      <c r="D33" s="66">
        <v>12707.25</v>
      </c>
      <c r="E33" s="70"/>
      <c r="F33" s="70"/>
    </row>
    <row r="34" spans="2:6" ht="19.5" customHeight="1">
      <c r="B34" s="164" t="s">
        <v>101</v>
      </c>
      <c r="C34" s="168"/>
      <c r="D34" s="66">
        <v>21270.78</v>
      </c>
      <c r="E34" s="70"/>
      <c r="F34" s="70"/>
    </row>
    <row r="35" spans="2:6" ht="19.5" customHeight="1">
      <c r="B35" s="164" t="s">
        <v>102</v>
      </c>
      <c r="C35" s="168"/>
      <c r="D35" s="66">
        <v>2096.35</v>
      </c>
      <c r="E35" s="70"/>
      <c r="F35" s="70"/>
    </row>
    <row r="36" spans="2:6" ht="19.5" customHeight="1">
      <c r="B36" s="164" t="s">
        <v>1</v>
      </c>
      <c r="C36" s="168"/>
      <c r="D36" s="66">
        <v>5069.75</v>
      </c>
      <c r="E36" s="70"/>
      <c r="F36" s="70"/>
    </row>
    <row r="37" spans="2:6" ht="19.5" customHeight="1">
      <c r="B37" s="192" t="s">
        <v>103</v>
      </c>
      <c r="C37" s="167"/>
      <c r="D37" s="66">
        <v>1641.5</v>
      </c>
      <c r="E37" s="70"/>
      <c r="F37" s="70"/>
    </row>
    <row r="38" spans="2:6" ht="19.5" customHeight="1">
      <c r="B38" s="192" t="s">
        <v>0</v>
      </c>
      <c r="C38" s="167"/>
      <c r="D38" s="66">
        <v>499.2</v>
      </c>
      <c r="E38" s="70"/>
      <c r="F38" s="70"/>
    </row>
    <row r="39" spans="2:6" ht="19.5" customHeight="1">
      <c r="B39" s="192" t="s">
        <v>109</v>
      </c>
      <c r="C39" s="167"/>
      <c r="D39" s="66">
        <v>617.39</v>
      </c>
      <c r="E39" s="70"/>
      <c r="F39" s="70"/>
    </row>
    <row r="40" spans="2:6" ht="19.5" customHeight="1">
      <c r="B40" s="192" t="s">
        <v>13</v>
      </c>
      <c r="C40" s="167"/>
      <c r="D40" s="66">
        <v>1133.06</v>
      </c>
      <c r="E40" s="70"/>
      <c r="F40" s="70"/>
    </row>
    <row r="41" spans="2:6" ht="19.5" customHeight="1" thickBot="1">
      <c r="B41" s="206" t="s">
        <v>104</v>
      </c>
      <c r="C41" s="207"/>
      <c r="D41" s="81">
        <v>12046.54</v>
      </c>
      <c r="E41" s="70"/>
      <c r="F41" s="70"/>
    </row>
    <row r="42" spans="2:6" ht="19.5" customHeight="1" thickBot="1">
      <c r="B42" s="208" t="s">
        <v>98</v>
      </c>
      <c r="C42" s="232"/>
      <c r="D42" s="112">
        <f>D9+D15+D16+D29+D30+D31</f>
        <v>510796.37</v>
      </c>
      <c r="E42" s="70"/>
      <c r="F42" s="71"/>
    </row>
    <row r="43" spans="2:6" ht="2.25" customHeight="1">
      <c r="B43" s="230"/>
      <c r="C43" s="230"/>
      <c r="D43" s="31"/>
      <c r="E43" s="2"/>
    </row>
    <row r="44" spans="2:6">
      <c r="B44" s="230"/>
      <c r="C44" s="230"/>
      <c r="D44" s="31"/>
      <c r="E44" s="2"/>
    </row>
    <row r="45" spans="2:6">
      <c r="B45" s="2"/>
      <c r="C45" s="2"/>
      <c r="D45" s="2"/>
      <c r="E45" s="2"/>
    </row>
  </sheetData>
  <mergeCells count="43">
    <mergeCell ref="B42:C42"/>
    <mergeCell ref="B13:C13"/>
    <mergeCell ref="B15:C15"/>
    <mergeCell ref="B16:C16"/>
    <mergeCell ref="B17:C17"/>
    <mergeCell ref="B18:C18"/>
    <mergeCell ref="B19:C19"/>
    <mergeCell ref="B29:C29"/>
    <mergeCell ref="B30:C30"/>
    <mergeCell ref="B23:C23"/>
    <mergeCell ref="B20:C20"/>
    <mergeCell ref="B25:C25"/>
    <mergeCell ref="B24:C24"/>
    <mergeCell ref="B28:C28"/>
    <mergeCell ref="B27:C27"/>
    <mergeCell ref="B26:C26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7:C7"/>
    <mergeCell ref="B3:C3"/>
    <mergeCell ref="B43:C43"/>
    <mergeCell ref="B44:C44"/>
    <mergeCell ref="B12:C12"/>
    <mergeCell ref="B35:C35"/>
    <mergeCell ref="B36:C36"/>
    <mergeCell ref="B22:C22"/>
    <mergeCell ref="B41:C41"/>
    <mergeCell ref="B31:C31"/>
    <mergeCell ref="B32:C32"/>
    <mergeCell ref="B33:C33"/>
    <mergeCell ref="B34:C34"/>
    <mergeCell ref="B37:C37"/>
    <mergeCell ref="B38:C38"/>
    <mergeCell ref="B39:C39"/>
    <mergeCell ref="B40:C40"/>
    <mergeCell ref="B14:C14"/>
  </mergeCells>
  <pageMargins left="0.11811023622047245" right="0.11811023622047245" top="0.15748031496062992" bottom="0.15748031496062992" header="0" footer="0"/>
  <pageSetup paperSize="9" scale="9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workbookViewId="0">
      <selection activeCell="B20" sqref="B20:C20"/>
    </sheetView>
  </sheetViews>
  <sheetFormatPr defaultRowHeight="15"/>
  <cols>
    <col min="1" max="1" width="4.85546875" customWidth="1"/>
    <col min="3" max="3" width="72.85546875" customWidth="1"/>
    <col min="4" max="4" width="17.85546875" customWidth="1"/>
    <col min="6" max="6" width="12.140625" customWidth="1"/>
  </cols>
  <sheetData>
    <row r="1" spans="2:6" ht="33.75" customHeight="1" thickBot="1">
      <c r="B1" s="233" t="s">
        <v>159</v>
      </c>
      <c r="C1" s="234"/>
      <c r="D1" s="235"/>
    </row>
    <row r="2" spans="2:6" ht="19.5" customHeight="1" thickBot="1">
      <c r="B2" s="276" t="s">
        <v>43</v>
      </c>
      <c r="C2" s="277"/>
      <c r="D2" s="98" t="s">
        <v>23</v>
      </c>
    </row>
    <row r="3" spans="2:6" ht="19.5" customHeight="1">
      <c r="B3" s="246" t="s">
        <v>58</v>
      </c>
      <c r="C3" s="247"/>
      <c r="D3" s="145">
        <f>129122.99+787.81+628.01</f>
        <v>130538.81</v>
      </c>
    </row>
    <row r="4" spans="2:6" ht="19.5" customHeight="1">
      <c r="B4" s="240" t="s">
        <v>49</v>
      </c>
      <c r="C4" s="241"/>
      <c r="D4" s="103">
        <v>972984.36</v>
      </c>
    </row>
    <row r="5" spans="2:6" ht="19.5" customHeight="1">
      <c r="B5" s="240" t="s">
        <v>28</v>
      </c>
      <c r="C5" s="241"/>
      <c r="D5" s="103">
        <f>905722.04+9778.55+19130.27</f>
        <v>934630.8600000001</v>
      </c>
    </row>
    <row r="6" spans="2:6" ht="19.5" customHeight="1" thickBot="1">
      <c r="B6" s="242" t="s">
        <v>59</v>
      </c>
      <c r="C6" s="243"/>
      <c r="D6" s="104">
        <f>D3+D4-D5</f>
        <v>168892.30999999982</v>
      </c>
    </row>
    <row r="7" spans="2:6" ht="19.5" customHeight="1" thickBot="1">
      <c r="B7" s="244" t="s">
        <v>97</v>
      </c>
      <c r="C7" s="245"/>
      <c r="D7" s="157">
        <f>D5</f>
        <v>934630.8600000001</v>
      </c>
    </row>
    <row r="8" spans="2:6" ht="19.5" customHeight="1" thickBot="1">
      <c r="B8" s="249" t="s">
        <v>44</v>
      </c>
      <c r="C8" s="250"/>
      <c r="D8" s="56" t="s">
        <v>23</v>
      </c>
    </row>
    <row r="9" spans="2:6" ht="19.5" customHeight="1">
      <c r="B9" s="195" t="s">
        <v>8</v>
      </c>
      <c r="C9" s="196"/>
      <c r="D9" s="53">
        <f>D10+D11+D12+D15+D13+D14</f>
        <v>311984.11</v>
      </c>
      <c r="E9" s="70"/>
      <c r="F9" s="70"/>
    </row>
    <row r="10" spans="2:6" ht="19.5" customHeight="1">
      <c r="B10" s="192" t="s">
        <v>2</v>
      </c>
      <c r="C10" s="167"/>
      <c r="D10" s="39">
        <v>247383</v>
      </c>
      <c r="E10" s="70"/>
      <c r="F10" s="70"/>
    </row>
    <row r="11" spans="2:6" ht="19.5" customHeight="1">
      <c r="B11" s="164" t="s">
        <v>99</v>
      </c>
      <c r="C11" s="168"/>
      <c r="D11" s="39">
        <f>297354.37-D10</f>
        <v>49971.369999999995</v>
      </c>
      <c r="E11" s="70"/>
      <c r="F11" s="71"/>
    </row>
    <row r="12" spans="2:6" ht="19.5" customHeight="1">
      <c r="B12" s="166" t="s">
        <v>40</v>
      </c>
      <c r="C12" s="217"/>
      <c r="D12" s="39">
        <v>2600</v>
      </c>
      <c r="E12" s="70"/>
      <c r="F12" s="71"/>
    </row>
    <row r="13" spans="2:6" ht="19.5" customHeight="1">
      <c r="B13" s="166" t="s">
        <v>128</v>
      </c>
      <c r="C13" s="217"/>
      <c r="D13" s="39">
        <v>3187.65</v>
      </c>
      <c r="E13" s="70"/>
      <c r="F13" s="71"/>
    </row>
    <row r="14" spans="2:6" ht="19.5" customHeight="1">
      <c r="B14" s="166" t="s">
        <v>72</v>
      </c>
      <c r="C14" s="217"/>
      <c r="D14" s="39">
        <v>2834.6</v>
      </c>
      <c r="E14" s="70"/>
      <c r="F14" s="71"/>
    </row>
    <row r="15" spans="2:6" ht="19.5" customHeight="1" thickBot="1">
      <c r="B15" s="164" t="s">
        <v>105</v>
      </c>
      <c r="C15" s="165"/>
      <c r="D15" s="39">
        <v>6007.49</v>
      </c>
      <c r="E15" s="70"/>
      <c r="F15" s="70"/>
    </row>
    <row r="16" spans="2:6" ht="19.5" customHeight="1" thickBot="1">
      <c r="B16" s="214" t="s">
        <v>4</v>
      </c>
      <c r="C16" s="215"/>
      <c r="D16" s="44">
        <v>58694.46</v>
      </c>
      <c r="E16" s="70"/>
      <c r="F16" s="70"/>
    </row>
    <row r="17" spans="2:6" ht="19.5" customHeight="1">
      <c r="B17" s="171" t="s">
        <v>14</v>
      </c>
      <c r="C17" s="172"/>
      <c r="D17" s="38">
        <f>D18+D19+D20+D21+D23+D24+D25+D26+D27+D28+D29+D30+D22</f>
        <v>420941.82999999996</v>
      </c>
      <c r="E17" s="70"/>
      <c r="F17" s="70"/>
    </row>
    <row r="18" spans="2:6" ht="19.5" customHeight="1">
      <c r="B18" s="175" t="s">
        <v>122</v>
      </c>
      <c r="C18" s="176"/>
      <c r="D18" s="75">
        <f>31491.13-D15-D19-1799.51</f>
        <v>19227.080000000002</v>
      </c>
      <c r="E18" s="70"/>
      <c r="F18" s="70"/>
    </row>
    <row r="19" spans="2:6" ht="19.5" customHeight="1">
      <c r="B19" s="223" t="s">
        <v>5</v>
      </c>
      <c r="C19" s="224"/>
      <c r="D19" s="76">
        <v>4457.05</v>
      </c>
      <c r="E19" s="70"/>
      <c r="F19" s="70"/>
    </row>
    <row r="20" spans="2:6" ht="19.5" customHeight="1">
      <c r="B20" s="212" t="s">
        <v>117</v>
      </c>
      <c r="C20" s="213"/>
      <c r="D20" s="65">
        <v>235728.23</v>
      </c>
      <c r="E20" s="70"/>
      <c r="F20" s="70"/>
    </row>
    <row r="21" spans="2:6" ht="19.5" customHeight="1">
      <c r="B21" s="192" t="s">
        <v>127</v>
      </c>
      <c r="C21" s="167"/>
      <c r="D21" s="66">
        <v>47443.14</v>
      </c>
      <c r="E21" s="70"/>
      <c r="F21" s="70"/>
    </row>
    <row r="22" spans="2:6" ht="19.5" customHeight="1">
      <c r="B22" s="149" t="s">
        <v>96</v>
      </c>
      <c r="C22" s="148"/>
      <c r="D22" s="66">
        <v>4622.37</v>
      </c>
      <c r="E22" s="70"/>
      <c r="F22" s="70"/>
    </row>
    <row r="23" spans="2:6" ht="19.5" customHeight="1">
      <c r="B23" s="164" t="s">
        <v>32</v>
      </c>
      <c r="C23" s="165"/>
      <c r="D23" s="66">
        <f>1699.51+100+2824.37</f>
        <v>4623.88</v>
      </c>
      <c r="E23" s="70"/>
      <c r="F23" s="70"/>
    </row>
    <row r="24" spans="2:6" ht="19.5" customHeight="1">
      <c r="B24" s="164" t="s">
        <v>41</v>
      </c>
      <c r="C24" s="165"/>
      <c r="D24" s="66">
        <v>36131.08</v>
      </c>
      <c r="E24" s="70"/>
      <c r="F24" s="70"/>
    </row>
    <row r="25" spans="2:6" ht="19.5" customHeight="1">
      <c r="B25" s="166" t="s">
        <v>19</v>
      </c>
      <c r="C25" s="248"/>
      <c r="D25" s="66">
        <v>21045.99</v>
      </c>
      <c r="E25" s="70"/>
      <c r="F25" s="70"/>
    </row>
    <row r="26" spans="2:6" ht="19.5" customHeight="1">
      <c r="B26" s="166" t="s">
        <v>33</v>
      </c>
      <c r="C26" s="167"/>
      <c r="D26" s="66">
        <v>921.86</v>
      </c>
      <c r="E26" s="70"/>
      <c r="F26" s="70"/>
    </row>
    <row r="27" spans="2:6" ht="19.5" customHeight="1">
      <c r="B27" s="164" t="s">
        <v>125</v>
      </c>
      <c r="C27" s="165"/>
      <c r="D27" s="66">
        <v>2245.4699999999998</v>
      </c>
      <c r="E27" s="70"/>
      <c r="F27" s="70"/>
    </row>
    <row r="28" spans="2:6" ht="19.5" customHeight="1">
      <c r="B28" s="166" t="s">
        <v>21</v>
      </c>
      <c r="C28" s="217"/>
      <c r="D28" s="66">
        <v>34395.68</v>
      </c>
      <c r="E28" s="70"/>
      <c r="F28" s="70"/>
    </row>
    <row r="29" spans="2:6" ht="19.5" customHeight="1">
      <c r="B29" s="166" t="s">
        <v>152</v>
      </c>
      <c r="C29" s="217"/>
      <c r="D29" s="66">
        <v>9600</v>
      </c>
      <c r="E29" s="70"/>
      <c r="F29" s="70"/>
    </row>
    <row r="30" spans="2:6" ht="19.5" customHeight="1" thickBot="1">
      <c r="B30" s="164" t="s">
        <v>75</v>
      </c>
      <c r="C30" s="165"/>
      <c r="D30" s="66">
        <v>500</v>
      </c>
      <c r="E30" s="70"/>
      <c r="F30" s="70"/>
    </row>
    <row r="31" spans="2:6" ht="19.5" customHeight="1" thickBot="1">
      <c r="B31" s="193" t="s">
        <v>42</v>
      </c>
      <c r="C31" s="205"/>
      <c r="D31" s="40">
        <v>453.56</v>
      </c>
      <c r="E31" s="70"/>
      <c r="F31" s="70"/>
    </row>
    <row r="32" spans="2:6" ht="19.5" customHeight="1" thickBot="1">
      <c r="B32" s="193" t="s">
        <v>142</v>
      </c>
      <c r="C32" s="194"/>
      <c r="D32" s="49">
        <v>2850.23</v>
      </c>
      <c r="E32" s="70"/>
      <c r="F32" s="70"/>
    </row>
    <row r="33" spans="2:6" ht="19.5" customHeight="1">
      <c r="B33" s="171" t="s">
        <v>24</v>
      </c>
      <c r="C33" s="172"/>
      <c r="D33" s="38">
        <f>D34+D35+D36+D37+D38+D39+D40+D41+D42+D43</f>
        <v>231222.88</v>
      </c>
      <c r="E33" s="70"/>
      <c r="F33" s="70"/>
    </row>
    <row r="34" spans="2:6" ht="19.5" customHeight="1">
      <c r="B34" s="175" t="s">
        <v>139</v>
      </c>
      <c r="C34" s="176"/>
      <c r="D34" s="66">
        <v>121295.8</v>
      </c>
      <c r="E34" s="70"/>
      <c r="F34" s="70"/>
    </row>
    <row r="35" spans="2:6" ht="19.5" customHeight="1">
      <c r="B35" s="164" t="s">
        <v>99</v>
      </c>
      <c r="C35" s="168"/>
      <c r="D35" s="66">
        <v>24471.39</v>
      </c>
      <c r="E35" s="70"/>
      <c r="F35" s="70"/>
    </row>
    <row r="36" spans="2:6" ht="19.5" customHeight="1">
      <c r="B36" s="164" t="s">
        <v>101</v>
      </c>
      <c r="C36" s="168"/>
      <c r="D36" s="66">
        <v>40962.870000000003</v>
      </c>
      <c r="E36" s="70"/>
      <c r="F36" s="70"/>
    </row>
    <row r="37" spans="2:6" ht="19.5" customHeight="1">
      <c r="B37" s="164" t="s">
        <v>102</v>
      </c>
      <c r="C37" s="168"/>
      <c r="D37" s="66">
        <v>4037.1</v>
      </c>
      <c r="E37" s="70"/>
      <c r="F37" s="70"/>
    </row>
    <row r="38" spans="2:6" ht="19.5" customHeight="1">
      <c r="B38" s="164" t="s">
        <v>1</v>
      </c>
      <c r="C38" s="168"/>
      <c r="D38" s="66">
        <f>9763.23</f>
        <v>9763.23</v>
      </c>
      <c r="E38" s="70"/>
      <c r="F38" s="70"/>
    </row>
    <row r="39" spans="2:6" ht="19.5" customHeight="1">
      <c r="B39" s="192" t="s">
        <v>103</v>
      </c>
      <c r="C39" s="167"/>
      <c r="D39" s="66">
        <v>3161.16</v>
      </c>
      <c r="E39" s="70"/>
      <c r="F39" s="70"/>
    </row>
    <row r="40" spans="2:6" ht="19.5" customHeight="1">
      <c r="B40" s="192" t="s">
        <v>0</v>
      </c>
      <c r="C40" s="167"/>
      <c r="D40" s="66">
        <v>961.35</v>
      </c>
      <c r="E40" s="70"/>
      <c r="F40" s="70"/>
    </row>
    <row r="41" spans="2:6" ht="19.5" customHeight="1">
      <c r="B41" s="192" t="s">
        <v>109</v>
      </c>
      <c r="C41" s="167"/>
      <c r="D41" s="66">
        <v>1188.96</v>
      </c>
      <c r="E41" s="70"/>
      <c r="F41" s="70"/>
    </row>
    <row r="42" spans="2:6" ht="19.5" customHeight="1">
      <c r="B42" s="192" t="s">
        <v>13</v>
      </c>
      <c r="C42" s="167"/>
      <c r="D42" s="66">
        <v>2182.02</v>
      </c>
      <c r="E42" s="70"/>
      <c r="F42" s="70"/>
    </row>
    <row r="43" spans="2:6" ht="19.5" customHeight="1" thickBot="1">
      <c r="B43" s="206" t="s">
        <v>104</v>
      </c>
      <c r="C43" s="207"/>
      <c r="D43" s="81">
        <v>23199</v>
      </c>
      <c r="E43" s="70"/>
      <c r="F43" s="70"/>
    </row>
    <row r="44" spans="2:6" ht="19.5" customHeight="1" thickBot="1">
      <c r="B44" s="208" t="s">
        <v>98</v>
      </c>
      <c r="C44" s="232"/>
      <c r="D44" s="112">
        <f>D9+D16+D17+D31+D32+D33</f>
        <v>1026147.07</v>
      </c>
      <c r="E44" s="70"/>
      <c r="F44" s="71"/>
    </row>
    <row r="45" spans="2:6">
      <c r="B45" s="33"/>
      <c r="C45" s="33"/>
      <c r="D45" s="31"/>
    </row>
    <row r="46" spans="2:6">
      <c r="B46" s="33"/>
      <c r="C46" s="33"/>
      <c r="D46" s="31"/>
    </row>
  </sheetData>
  <mergeCells count="43">
    <mergeCell ref="B44:C44"/>
    <mergeCell ref="B13:C13"/>
    <mergeCell ref="B14:C14"/>
    <mergeCell ref="B15:C15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7:C7"/>
    <mergeCell ref="B12:C12"/>
    <mergeCell ref="B3:C3"/>
    <mergeCell ref="B40:C40"/>
    <mergeCell ref="B32:C32"/>
    <mergeCell ref="B41:C41"/>
    <mergeCell ref="B42:C42"/>
    <mergeCell ref="B43:C43"/>
    <mergeCell ref="B33:C33"/>
    <mergeCell ref="B34:C34"/>
    <mergeCell ref="B35:C35"/>
    <mergeCell ref="B36:C36"/>
    <mergeCell ref="B37:C37"/>
    <mergeCell ref="B38:C38"/>
    <mergeCell ref="B39:C39"/>
    <mergeCell ref="B29:C29"/>
    <mergeCell ref="B30:C30"/>
    <mergeCell ref="B31:C31"/>
    <mergeCell ref="B28:C28"/>
    <mergeCell ref="B27:C27"/>
    <mergeCell ref="B16:C16"/>
    <mergeCell ref="B17:C17"/>
    <mergeCell ref="B18:C18"/>
    <mergeCell ref="B19:C19"/>
    <mergeCell ref="B20:C20"/>
    <mergeCell ref="B21:C21"/>
    <mergeCell ref="B23:C23"/>
    <mergeCell ref="B25:C25"/>
    <mergeCell ref="B26:C26"/>
    <mergeCell ref="B24:C24"/>
  </mergeCells>
  <pageMargins left="0.11811023622047245" right="0.11811023622047245" top="0.15748031496062992" bottom="0.15748031496062992" header="0" footer="0"/>
  <pageSetup paperSize="9" scale="9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7"/>
  <sheetViews>
    <sheetView workbookViewId="0">
      <selection activeCell="G26" sqref="G26"/>
    </sheetView>
  </sheetViews>
  <sheetFormatPr defaultRowHeight="15"/>
  <cols>
    <col min="1" max="1" width="3.140625" customWidth="1"/>
    <col min="3" max="3" width="59.28515625" customWidth="1"/>
    <col min="4" max="4" width="16.42578125" customWidth="1"/>
    <col min="6" max="6" width="15.140625" customWidth="1"/>
  </cols>
  <sheetData>
    <row r="1" spans="2:6" ht="36" customHeight="1" thickBot="1">
      <c r="B1" s="199" t="s">
        <v>88</v>
      </c>
      <c r="C1" s="200"/>
      <c r="D1" s="201"/>
    </row>
    <row r="2" spans="2:6" ht="19.5" customHeight="1" thickBot="1">
      <c r="B2" s="276" t="s">
        <v>43</v>
      </c>
      <c r="C2" s="277"/>
      <c r="D2" s="45" t="s">
        <v>23</v>
      </c>
    </row>
    <row r="3" spans="2:6" ht="19.5" customHeight="1">
      <c r="B3" s="246" t="s">
        <v>58</v>
      </c>
      <c r="C3" s="247"/>
      <c r="D3" s="100">
        <f>193381.99+8316.94</f>
        <v>201698.93</v>
      </c>
    </row>
    <row r="4" spans="2:6" ht="19.5" customHeight="1">
      <c r="B4" s="240" t="s">
        <v>49</v>
      </c>
      <c r="C4" s="241"/>
      <c r="D4" s="100">
        <v>1036807.57</v>
      </c>
    </row>
    <row r="5" spans="2:6" ht="19.5" customHeight="1">
      <c r="B5" s="240" t="s">
        <v>29</v>
      </c>
      <c r="C5" s="241"/>
      <c r="D5" s="100">
        <f>837188+98264.98</f>
        <v>935452.98</v>
      </c>
    </row>
    <row r="6" spans="2:6" ht="19.5" customHeight="1" thickBot="1">
      <c r="B6" s="242" t="s">
        <v>59</v>
      </c>
      <c r="C6" s="243"/>
      <c r="D6" s="107">
        <f>D3+D4-D5</f>
        <v>303053.52</v>
      </c>
      <c r="F6" s="137"/>
    </row>
    <row r="7" spans="2:6" ht="19.5" customHeight="1" thickBot="1">
      <c r="B7" s="290" t="s">
        <v>45</v>
      </c>
      <c r="C7" s="290"/>
      <c r="D7" s="111">
        <f>D5</f>
        <v>935452.98</v>
      </c>
    </row>
    <row r="8" spans="2:6" ht="19.5" customHeight="1" thickBot="1">
      <c r="B8" s="249" t="s">
        <v>44</v>
      </c>
      <c r="C8" s="250"/>
      <c r="D8" s="56" t="s">
        <v>23</v>
      </c>
    </row>
    <row r="9" spans="2:6" ht="19.5" customHeight="1">
      <c r="B9" s="195" t="s">
        <v>8</v>
      </c>
      <c r="C9" s="196"/>
      <c r="D9" s="53">
        <f>D10+D11+D12</f>
        <v>150631.21</v>
      </c>
      <c r="E9" s="70"/>
      <c r="F9" s="70"/>
    </row>
    <row r="10" spans="2:6" ht="19.5" customHeight="1">
      <c r="B10" s="192" t="s">
        <v>2</v>
      </c>
      <c r="C10" s="167"/>
      <c r="D10" s="39">
        <v>122855</v>
      </c>
      <c r="E10" s="70"/>
      <c r="F10" s="70"/>
    </row>
    <row r="11" spans="2:6" ht="19.5" customHeight="1">
      <c r="B11" s="164" t="s">
        <v>3</v>
      </c>
      <c r="C11" s="168"/>
      <c r="D11" s="39">
        <f>147671.71-D10</f>
        <v>24816.709999999992</v>
      </c>
      <c r="E11" s="70"/>
      <c r="F11" s="70"/>
    </row>
    <row r="12" spans="2:6" ht="19.5" customHeight="1" thickBot="1">
      <c r="B12" s="164" t="s">
        <v>9</v>
      </c>
      <c r="C12" s="165"/>
      <c r="D12" s="39">
        <v>2959.5</v>
      </c>
      <c r="E12" s="70"/>
      <c r="F12" s="70"/>
    </row>
    <row r="13" spans="2:6" ht="19.5" customHeight="1" thickBot="1">
      <c r="B13" s="214" t="s">
        <v>4</v>
      </c>
      <c r="C13" s="215"/>
      <c r="D13" s="44">
        <v>22602.06</v>
      </c>
      <c r="E13" s="70"/>
      <c r="F13" s="71"/>
    </row>
    <row r="14" spans="2:6" ht="19.5" customHeight="1">
      <c r="B14" s="171" t="s">
        <v>14</v>
      </c>
      <c r="C14" s="172"/>
      <c r="D14" s="53">
        <f>D15+D16+D17+D19+D20+D21+D22+D23+D24+D25+D26+D18</f>
        <v>255911.08000000002</v>
      </c>
      <c r="E14" s="70"/>
      <c r="F14" s="71"/>
    </row>
    <row r="15" spans="2:6" ht="19.5" customHeight="1">
      <c r="B15" s="175" t="s">
        <v>15</v>
      </c>
      <c r="C15" s="176"/>
      <c r="D15" s="72">
        <f>18986.95-D12-743.35</f>
        <v>15284.1</v>
      </c>
      <c r="E15" s="70"/>
      <c r="F15" s="70"/>
    </row>
    <row r="16" spans="2:6" ht="19.5" customHeight="1">
      <c r="B16" s="212" t="s">
        <v>6</v>
      </c>
      <c r="C16" s="213"/>
      <c r="D16" s="41">
        <v>160342.66</v>
      </c>
      <c r="E16" s="70"/>
      <c r="F16" s="70"/>
    </row>
    <row r="17" spans="2:6" ht="19.5" customHeight="1">
      <c r="B17" s="192" t="s">
        <v>3</v>
      </c>
      <c r="C17" s="167"/>
      <c r="D17" s="39">
        <v>32270.89</v>
      </c>
      <c r="E17" s="70"/>
      <c r="F17" s="70"/>
    </row>
    <row r="18" spans="2:6" ht="19.5" customHeight="1">
      <c r="B18" s="149" t="s">
        <v>96</v>
      </c>
      <c r="C18" s="148"/>
      <c r="D18" s="39">
        <v>4922.3999999999996</v>
      </c>
      <c r="E18" s="70"/>
      <c r="F18" s="70"/>
    </row>
    <row r="19" spans="2:6" ht="19.5" customHeight="1">
      <c r="B19" s="164" t="s">
        <v>32</v>
      </c>
      <c r="C19" s="165"/>
      <c r="D19" s="39">
        <f>743.35+3007.7</f>
        <v>3751.0499999999997</v>
      </c>
      <c r="E19" s="70"/>
      <c r="F19" s="70"/>
    </row>
    <row r="20" spans="2:6" ht="19.5" customHeight="1">
      <c r="B20" s="166" t="s">
        <v>20</v>
      </c>
      <c r="C20" s="248"/>
      <c r="D20" s="39">
        <v>22412.06</v>
      </c>
      <c r="E20" s="70"/>
      <c r="F20" s="70"/>
    </row>
    <row r="21" spans="2:6" ht="19.5" customHeight="1">
      <c r="B21" s="166" t="s">
        <v>33</v>
      </c>
      <c r="C21" s="167"/>
      <c r="D21" s="39">
        <v>981.7</v>
      </c>
      <c r="E21" s="70"/>
      <c r="F21" s="70"/>
    </row>
    <row r="22" spans="2:6" ht="19.5" customHeight="1">
      <c r="B22" s="166" t="s">
        <v>57</v>
      </c>
      <c r="C22" s="217"/>
      <c r="D22" s="39">
        <v>1500</v>
      </c>
      <c r="E22" s="70"/>
      <c r="F22" s="70"/>
    </row>
    <row r="23" spans="2:6" ht="19.5" customHeight="1">
      <c r="B23" s="166" t="s">
        <v>21</v>
      </c>
      <c r="C23" s="217"/>
      <c r="D23" s="39">
        <v>2785</v>
      </c>
      <c r="E23" s="70"/>
      <c r="F23" s="70"/>
    </row>
    <row r="24" spans="2:6" ht="19.5" customHeight="1">
      <c r="B24" s="175" t="s">
        <v>55</v>
      </c>
      <c r="C24" s="176"/>
      <c r="D24" s="39">
        <f>2391.22+70</f>
        <v>2461.2199999999998</v>
      </c>
      <c r="E24" s="70"/>
      <c r="F24" s="70"/>
    </row>
    <row r="25" spans="2:6" ht="20.25" customHeight="1">
      <c r="B25" s="166" t="s">
        <v>61</v>
      </c>
      <c r="C25" s="217"/>
      <c r="D25" s="39">
        <v>8400</v>
      </c>
      <c r="E25" s="70"/>
      <c r="F25" s="70"/>
    </row>
    <row r="26" spans="2:6" ht="19.5" customHeight="1" thickBot="1">
      <c r="B26" s="197" t="s">
        <v>82</v>
      </c>
      <c r="C26" s="198"/>
      <c r="D26" s="42">
        <v>800</v>
      </c>
      <c r="E26" s="70"/>
      <c r="F26" s="70"/>
    </row>
    <row r="27" spans="2:6" ht="19.5" customHeight="1" thickBot="1">
      <c r="B27" s="193" t="s">
        <v>22</v>
      </c>
      <c r="C27" s="205"/>
      <c r="D27" s="44">
        <f>D28+D29+D30</f>
        <v>88906.3</v>
      </c>
      <c r="E27" s="70"/>
      <c r="F27" s="70"/>
    </row>
    <row r="28" spans="2:6" ht="19.5" customHeight="1">
      <c r="B28" s="175" t="s">
        <v>16</v>
      </c>
      <c r="C28" s="289"/>
      <c r="D28" s="66">
        <v>327.5</v>
      </c>
      <c r="E28" s="70"/>
      <c r="F28" s="70"/>
    </row>
    <row r="29" spans="2:6" ht="19.5" customHeight="1">
      <c r="B29" s="175" t="s">
        <v>56</v>
      </c>
      <c r="C29" s="289"/>
      <c r="D29" s="66">
        <v>2750</v>
      </c>
      <c r="E29" s="70"/>
      <c r="F29" s="70"/>
    </row>
    <row r="30" spans="2:6" ht="19.5" customHeight="1" thickBot="1">
      <c r="B30" s="164" t="s">
        <v>47</v>
      </c>
      <c r="C30" s="288"/>
      <c r="D30" s="66">
        <v>85828.800000000003</v>
      </c>
      <c r="E30" s="70"/>
      <c r="F30" s="70"/>
    </row>
    <row r="31" spans="2:6" ht="19.5" customHeight="1" thickBot="1">
      <c r="B31" s="193" t="s">
        <v>42</v>
      </c>
      <c r="C31" s="205"/>
      <c r="D31" s="44">
        <v>483</v>
      </c>
      <c r="E31" s="70"/>
      <c r="F31" s="70"/>
    </row>
    <row r="32" spans="2:6" ht="19.5" customHeight="1" thickBot="1">
      <c r="B32" s="193" t="s">
        <v>30</v>
      </c>
      <c r="C32" s="194"/>
      <c r="D32" s="43">
        <v>3035.24</v>
      </c>
      <c r="E32" s="70"/>
      <c r="F32" s="70"/>
    </row>
    <row r="33" spans="2:6" ht="19.5" customHeight="1">
      <c r="B33" s="171" t="s">
        <v>24</v>
      </c>
      <c r="C33" s="172"/>
      <c r="D33" s="38">
        <f>D34+D35+D36+D37+D38+D39+D40+D41+D42+D43</f>
        <v>251920.00000000003</v>
      </c>
      <c r="E33" s="70"/>
      <c r="F33" s="70"/>
    </row>
    <row r="34" spans="2:6" ht="19.5" customHeight="1">
      <c r="B34" s="175" t="s">
        <v>25</v>
      </c>
      <c r="C34" s="176"/>
      <c r="D34" s="66">
        <v>129168.96000000001</v>
      </c>
      <c r="E34" s="70"/>
      <c r="F34" s="70"/>
    </row>
    <row r="35" spans="2:6" ht="19.5" customHeight="1">
      <c r="B35" s="164" t="s">
        <v>7</v>
      </c>
      <c r="C35" s="168"/>
      <c r="D35" s="66">
        <v>26059.79</v>
      </c>
      <c r="E35" s="70"/>
      <c r="F35" s="70"/>
    </row>
    <row r="36" spans="2:6" ht="19.5" customHeight="1">
      <c r="B36" s="164" t="s">
        <v>26</v>
      </c>
      <c r="C36" s="168"/>
      <c r="D36" s="66">
        <v>43621.72</v>
      </c>
      <c r="E36" s="70"/>
      <c r="F36" s="70"/>
    </row>
    <row r="37" spans="2:6" ht="19.5" customHeight="1">
      <c r="B37" s="164" t="s">
        <v>10</v>
      </c>
      <c r="C37" s="168"/>
      <c r="D37" s="66">
        <v>4299.1499999999996</v>
      </c>
      <c r="E37" s="70"/>
      <c r="F37" s="70"/>
    </row>
    <row r="38" spans="2:6" ht="19.5" customHeight="1">
      <c r="B38" s="164" t="s">
        <v>1</v>
      </c>
      <c r="C38" s="168"/>
      <c r="D38" s="66">
        <f>10396.95+2580</f>
        <v>12976.95</v>
      </c>
      <c r="E38" s="70"/>
      <c r="F38" s="70"/>
    </row>
    <row r="39" spans="2:6" ht="19.5" customHeight="1">
      <c r="B39" s="192" t="s">
        <v>11</v>
      </c>
      <c r="C39" s="167"/>
      <c r="D39" s="66">
        <v>3366.35</v>
      </c>
      <c r="E39" s="70"/>
      <c r="F39" s="70"/>
    </row>
    <row r="40" spans="2:6" ht="19.5" customHeight="1">
      <c r="B40" s="192" t="s">
        <v>0</v>
      </c>
      <c r="C40" s="167"/>
      <c r="D40" s="66">
        <f>1023.76+3108.72</f>
        <v>4132.4799999999996</v>
      </c>
      <c r="E40" s="70"/>
      <c r="F40" s="70"/>
    </row>
    <row r="41" spans="2:6" ht="19.5" customHeight="1">
      <c r="B41" s="192" t="s">
        <v>12</v>
      </c>
      <c r="C41" s="167"/>
      <c r="D41" s="66">
        <v>1266.1300000000001</v>
      </c>
      <c r="E41" s="70"/>
      <c r="F41" s="70"/>
    </row>
    <row r="42" spans="2:6" ht="19.5" customHeight="1">
      <c r="B42" s="192" t="s">
        <v>13</v>
      </c>
      <c r="C42" s="167"/>
      <c r="D42" s="66">
        <v>2323.65</v>
      </c>
      <c r="E42" s="70"/>
      <c r="F42" s="70"/>
    </row>
    <row r="43" spans="2:6" ht="19.5" customHeight="1" thickBot="1">
      <c r="B43" s="206" t="s">
        <v>62</v>
      </c>
      <c r="C43" s="207"/>
      <c r="D43" s="81">
        <v>24704.82</v>
      </c>
      <c r="E43" s="70"/>
      <c r="F43" s="70"/>
    </row>
    <row r="44" spans="2:6" ht="19.5" customHeight="1" thickBot="1">
      <c r="B44" s="208" t="s">
        <v>27</v>
      </c>
      <c r="C44" s="232"/>
      <c r="D44" s="112">
        <f>D9+D13+D14+D27+D31+D32+D33</f>
        <v>773488.89</v>
      </c>
      <c r="E44" s="70"/>
      <c r="F44" s="71"/>
    </row>
    <row r="45" spans="2:6">
      <c r="B45" s="33"/>
      <c r="C45" s="33"/>
      <c r="D45" s="31"/>
    </row>
    <row r="46" spans="2:6">
      <c r="B46" s="33"/>
      <c r="C46" s="33"/>
      <c r="D46" s="31"/>
    </row>
    <row r="47" spans="2:6">
      <c r="B47" s="2"/>
      <c r="C47" s="2"/>
      <c r="D47" s="2"/>
    </row>
  </sheetData>
  <mergeCells count="43">
    <mergeCell ref="B12:C12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7:C7"/>
    <mergeCell ref="B3:C3"/>
    <mergeCell ref="B37:C37"/>
    <mergeCell ref="B38:C38"/>
    <mergeCell ref="B39:C39"/>
    <mergeCell ref="B19:C19"/>
    <mergeCell ref="B20:C20"/>
    <mergeCell ref="B21:C21"/>
    <mergeCell ref="B24:C24"/>
    <mergeCell ref="B32:C32"/>
    <mergeCell ref="B33:C33"/>
    <mergeCell ref="B22:C22"/>
    <mergeCell ref="B27:C27"/>
    <mergeCell ref="B28:C28"/>
    <mergeCell ref="B29:C29"/>
    <mergeCell ref="B23:C23"/>
    <mergeCell ref="B31:C31"/>
    <mergeCell ref="B25:C25"/>
    <mergeCell ref="B13:C13"/>
    <mergeCell ref="B30:C30"/>
    <mergeCell ref="B34:C34"/>
    <mergeCell ref="B35:C35"/>
    <mergeCell ref="B36:C36"/>
    <mergeCell ref="B14:C14"/>
    <mergeCell ref="B15:C15"/>
    <mergeCell ref="B16:C16"/>
    <mergeCell ref="B17:C17"/>
    <mergeCell ref="B26:C26"/>
    <mergeCell ref="B44:C44"/>
    <mergeCell ref="B40:C40"/>
    <mergeCell ref="B41:C41"/>
    <mergeCell ref="B42:C42"/>
    <mergeCell ref="B43:C43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51"/>
  <sheetViews>
    <sheetView topLeftCell="A25" workbookViewId="0">
      <selection activeCell="B38" sqref="B38:C38"/>
    </sheetView>
  </sheetViews>
  <sheetFormatPr defaultRowHeight="15"/>
  <cols>
    <col min="1" max="1" width="4.140625" customWidth="1"/>
    <col min="2" max="2" width="20.85546875" customWidth="1"/>
    <col min="3" max="3" width="67.42578125" customWidth="1"/>
    <col min="4" max="4" width="17.140625" customWidth="1"/>
    <col min="5" max="5" width="9.140625" customWidth="1"/>
    <col min="6" max="6" width="18.7109375" customWidth="1"/>
    <col min="7" max="7" width="15" customWidth="1"/>
  </cols>
  <sheetData>
    <row r="1" spans="2:7" ht="36.75" customHeight="1" thickBot="1">
      <c r="B1" s="199" t="s">
        <v>160</v>
      </c>
      <c r="C1" s="200"/>
      <c r="D1" s="201"/>
    </row>
    <row r="2" spans="2:7" ht="19.5" customHeight="1" thickBot="1">
      <c r="B2" s="292" t="s">
        <v>43</v>
      </c>
      <c r="C2" s="293"/>
      <c r="D2" s="64" t="s">
        <v>23</v>
      </c>
    </row>
    <row r="3" spans="2:7" ht="19.5" customHeight="1">
      <c r="B3" s="294" t="s">
        <v>77</v>
      </c>
      <c r="C3" s="295"/>
      <c r="D3" s="46">
        <v>254961.03</v>
      </c>
    </row>
    <row r="4" spans="2:7" ht="19.5" customHeight="1">
      <c r="B4" s="296" t="s">
        <v>53</v>
      </c>
      <c r="C4" s="297"/>
      <c r="D4" s="47">
        <v>2497880.4</v>
      </c>
    </row>
    <row r="5" spans="2:7" ht="19.5" customHeight="1">
      <c r="B5" s="296" t="s">
        <v>35</v>
      </c>
      <c r="C5" s="297"/>
      <c r="D5" s="47">
        <v>2479536.0099999998</v>
      </c>
    </row>
    <row r="6" spans="2:7" ht="19.5" customHeight="1" thickBot="1">
      <c r="B6" s="298" t="s">
        <v>78</v>
      </c>
      <c r="C6" s="299"/>
      <c r="D6" s="54">
        <f>D3+D4-D5</f>
        <v>273305.41999999993</v>
      </c>
    </row>
    <row r="7" spans="2:7" ht="19.5" customHeight="1" thickBot="1">
      <c r="B7" s="208" t="s">
        <v>97</v>
      </c>
      <c r="C7" s="209"/>
      <c r="D7" s="50">
        <f>D5</f>
        <v>2479536.0099999998</v>
      </c>
    </row>
    <row r="8" spans="2:7" ht="19.5" customHeight="1" thickBot="1">
      <c r="B8" s="162" t="s">
        <v>44</v>
      </c>
      <c r="C8" s="163"/>
      <c r="D8" s="36" t="s">
        <v>23</v>
      </c>
    </row>
    <row r="9" spans="2:7" ht="19.5" customHeight="1">
      <c r="B9" s="195" t="s">
        <v>8</v>
      </c>
      <c r="C9" s="196"/>
      <c r="D9" s="53">
        <f>D10+D11+D12+D13</f>
        <v>450476.29000000004</v>
      </c>
      <c r="E9" s="70"/>
      <c r="F9" s="70"/>
      <c r="G9" s="70"/>
    </row>
    <row r="10" spans="2:7" ht="19.5" customHeight="1">
      <c r="B10" s="164" t="s">
        <v>2</v>
      </c>
      <c r="C10" s="168"/>
      <c r="D10" s="39">
        <v>368501</v>
      </c>
      <c r="E10" s="70"/>
      <c r="F10" s="70"/>
      <c r="G10" s="70"/>
    </row>
    <row r="11" spans="2:7" ht="19.5" customHeight="1">
      <c r="B11" s="164" t="s">
        <v>99</v>
      </c>
      <c r="C11" s="168"/>
      <c r="D11" s="39">
        <f>442938.2-D10</f>
        <v>74437.200000000012</v>
      </c>
      <c r="E11" s="70"/>
      <c r="F11" s="70"/>
      <c r="G11" s="70"/>
    </row>
    <row r="12" spans="2:7" ht="19.5" customHeight="1">
      <c r="B12" s="166" t="s">
        <v>40</v>
      </c>
      <c r="C12" s="217"/>
      <c r="D12" s="39">
        <v>2600</v>
      </c>
      <c r="E12" s="70"/>
      <c r="F12" s="70"/>
      <c r="G12" s="70"/>
    </row>
    <row r="13" spans="2:7" ht="19.5" customHeight="1" thickBot="1">
      <c r="B13" s="188" t="s">
        <v>105</v>
      </c>
      <c r="C13" s="189"/>
      <c r="D13" s="39">
        <v>4938.09</v>
      </c>
      <c r="E13" s="70"/>
      <c r="F13" s="70"/>
      <c r="G13" s="70"/>
    </row>
    <row r="14" spans="2:7" ht="19.5" customHeight="1" thickBot="1">
      <c r="B14" s="214" t="s">
        <v>4</v>
      </c>
      <c r="C14" s="215"/>
      <c r="D14" s="40">
        <v>84736.8</v>
      </c>
      <c r="E14" s="70"/>
      <c r="F14" s="70"/>
      <c r="G14" s="70"/>
    </row>
    <row r="15" spans="2:7" ht="19.5" customHeight="1">
      <c r="B15" s="171" t="s">
        <v>14</v>
      </c>
      <c r="C15" s="172"/>
      <c r="D15" s="38">
        <f>D16+D17+D18+D19+D21+D22+D23+D24+D25+D26+D29+D30+D27+D28+D20</f>
        <v>870293.34000000008</v>
      </c>
      <c r="E15" s="70"/>
      <c r="F15" s="70"/>
      <c r="G15" s="70"/>
    </row>
    <row r="16" spans="2:7" ht="19.5" customHeight="1">
      <c r="B16" s="175" t="s">
        <v>122</v>
      </c>
      <c r="C16" s="176"/>
      <c r="D16" s="75">
        <f>87871.35-D13-D17-4581</f>
        <v>75588.670000000013</v>
      </c>
      <c r="E16" s="70"/>
      <c r="F16" s="70"/>
      <c r="G16" s="70"/>
    </row>
    <row r="17" spans="2:7" ht="19.5" customHeight="1">
      <c r="B17" s="223" t="s">
        <v>5</v>
      </c>
      <c r="C17" s="224"/>
      <c r="D17" s="76">
        <v>2763.59</v>
      </c>
      <c r="E17" s="70"/>
      <c r="F17" s="71"/>
      <c r="G17" s="71"/>
    </row>
    <row r="18" spans="2:7" ht="19.5" customHeight="1">
      <c r="B18" s="212" t="s">
        <v>117</v>
      </c>
      <c r="C18" s="213"/>
      <c r="D18" s="65">
        <v>379854.69</v>
      </c>
      <c r="E18" s="70"/>
      <c r="F18" s="70"/>
      <c r="G18" s="70"/>
    </row>
    <row r="19" spans="2:7" ht="19.5" customHeight="1">
      <c r="B19" s="192" t="s">
        <v>99</v>
      </c>
      <c r="C19" s="167"/>
      <c r="D19" s="66">
        <v>76450.320000000007</v>
      </c>
      <c r="E19" s="70"/>
      <c r="F19" s="70"/>
      <c r="G19" s="70"/>
    </row>
    <row r="20" spans="2:7" ht="19.5" customHeight="1">
      <c r="B20" s="149" t="s">
        <v>96</v>
      </c>
      <c r="C20" s="148"/>
      <c r="D20" s="66">
        <v>11860.64</v>
      </c>
      <c r="E20" s="70"/>
      <c r="F20" s="70"/>
      <c r="G20" s="70"/>
    </row>
    <row r="21" spans="2:7" ht="19.5" customHeight="1">
      <c r="B21" s="164" t="s">
        <v>32</v>
      </c>
      <c r="C21" s="165"/>
      <c r="D21" s="66">
        <f>4481+100+7247.12</f>
        <v>11828.119999999999</v>
      </c>
      <c r="E21" s="70"/>
      <c r="F21" s="70"/>
      <c r="G21" s="70"/>
    </row>
    <row r="22" spans="2:7" ht="19.5" customHeight="1">
      <c r="B22" s="177" t="s">
        <v>19</v>
      </c>
      <c r="C22" s="178"/>
      <c r="D22" s="66">
        <v>54002.39</v>
      </c>
      <c r="E22" s="70"/>
      <c r="F22" s="70"/>
      <c r="G22" s="70"/>
    </row>
    <row r="23" spans="2:7" ht="19.5" customHeight="1">
      <c r="B23" s="177" t="s">
        <v>50</v>
      </c>
      <c r="C23" s="229"/>
      <c r="D23" s="66">
        <v>15233.8</v>
      </c>
      <c r="E23" s="70"/>
      <c r="F23" s="70"/>
      <c r="G23" s="70"/>
    </row>
    <row r="24" spans="2:7" ht="19.5" customHeight="1">
      <c r="B24" s="166" t="s">
        <v>152</v>
      </c>
      <c r="C24" s="217"/>
      <c r="D24" s="66">
        <v>15480</v>
      </c>
      <c r="E24" s="70"/>
      <c r="F24" s="70"/>
      <c r="G24" s="70"/>
    </row>
    <row r="25" spans="2:7" ht="19.5" customHeight="1">
      <c r="B25" s="164" t="s">
        <v>129</v>
      </c>
      <c r="C25" s="165"/>
      <c r="D25" s="66">
        <v>1500</v>
      </c>
      <c r="E25" s="70"/>
      <c r="F25" s="70"/>
      <c r="G25" s="70"/>
    </row>
    <row r="26" spans="2:7" ht="19.5" customHeight="1">
      <c r="B26" s="164" t="s">
        <v>92</v>
      </c>
      <c r="C26" s="165"/>
      <c r="D26" s="66">
        <f>11000+11000+1000</f>
        <v>23000</v>
      </c>
      <c r="E26" s="70"/>
      <c r="F26" s="70"/>
      <c r="G26" s="70"/>
    </row>
    <row r="27" spans="2:7" ht="22.5" customHeight="1">
      <c r="B27" s="164" t="s">
        <v>91</v>
      </c>
      <c r="C27" s="291"/>
      <c r="D27" s="66">
        <f>8400+3150</f>
        <v>11550</v>
      </c>
      <c r="E27" s="70"/>
      <c r="F27" s="70"/>
      <c r="G27" s="70"/>
    </row>
    <row r="28" spans="2:7" ht="19.5" customHeight="1">
      <c r="B28" s="164" t="s">
        <v>90</v>
      </c>
      <c r="C28" s="291"/>
      <c r="D28" s="66">
        <f>90962+90962</f>
        <v>181924</v>
      </c>
      <c r="E28" s="70"/>
      <c r="F28" s="70"/>
      <c r="G28" s="70"/>
    </row>
    <row r="29" spans="2:7" ht="19.5" customHeight="1">
      <c r="B29" s="166" t="s">
        <v>33</v>
      </c>
      <c r="C29" s="167"/>
      <c r="D29" s="66">
        <v>2365.42</v>
      </c>
      <c r="E29" s="70"/>
      <c r="F29" s="70"/>
      <c r="G29" s="70"/>
    </row>
    <row r="30" spans="2:7" ht="19.5" customHeight="1" thickBot="1">
      <c r="B30" s="173" t="s">
        <v>110</v>
      </c>
      <c r="C30" s="174"/>
      <c r="D30" s="81">
        <f>1130+5761.7</f>
        <v>6891.7</v>
      </c>
      <c r="E30" s="70"/>
      <c r="F30" s="70"/>
      <c r="G30" s="70"/>
    </row>
    <row r="31" spans="2:7" ht="19.5" customHeight="1" thickBot="1">
      <c r="B31" s="190" t="s">
        <v>34</v>
      </c>
      <c r="C31" s="191"/>
      <c r="D31" s="49">
        <f>D32+D33+D34</f>
        <v>404655.8</v>
      </c>
      <c r="E31" s="70"/>
      <c r="F31" s="70"/>
      <c r="G31" s="70"/>
    </row>
    <row r="32" spans="2:7" ht="19.5" customHeight="1">
      <c r="B32" s="175" t="s">
        <v>16</v>
      </c>
      <c r="C32" s="176"/>
      <c r="D32" s="93">
        <v>900</v>
      </c>
      <c r="E32" s="70"/>
      <c r="F32" s="70"/>
      <c r="G32" s="70"/>
    </row>
    <row r="33" spans="2:7" ht="19.5" customHeight="1">
      <c r="B33" s="164" t="s">
        <v>56</v>
      </c>
      <c r="C33" s="165"/>
      <c r="D33" s="66">
        <v>13750</v>
      </c>
      <c r="E33" s="70"/>
      <c r="F33" s="70"/>
      <c r="G33" s="70"/>
    </row>
    <row r="34" spans="2:7" ht="19.5" customHeight="1" thickBot="1">
      <c r="B34" s="188" t="s">
        <v>47</v>
      </c>
      <c r="C34" s="189"/>
      <c r="D34" s="81">
        <v>390005.8</v>
      </c>
      <c r="E34" s="70"/>
      <c r="F34" s="70"/>
      <c r="G34" s="70"/>
    </row>
    <row r="35" spans="2:7" ht="19.5" customHeight="1" thickBot="1">
      <c r="B35" s="193" t="s">
        <v>42</v>
      </c>
      <c r="C35" s="205"/>
      <c r="D35" s="43">
        <v>1163.8</v>
      </c>
      <c r="E35" s="70"/>
      <c r="F35" s="70"/>
      <c r="G35" s="70"/>
    </row>
    <row r="36" spans="2:7" ht="19.5" customHeight="1" thickBot="1">
      <c r="B36" s="193" t="s">
        <v>144</v>
      </c>
      <c r="C36" s="194"/>
      <c r="D36" s="40">
        <v>7313.47</v>
      </c>
      <c r="E36" s="70"/>
      <c r="F36" s="70"/>
      <c r="G36" s="70"/>
    </row>
    <row r="37" spans="2:7" ht="19.5" customHeight="1">
      <c r="B37" s="171" t="s">
        <v>31</v>
      </c>
      <c r="C37" s="172"/>
      <c r="D37" s="119">
        <f>D38+D39+D40+D41+D42+D43+D44+D45+D46+D47</f>
        <v>593809.65</v>
      </c>
      <c r="E37" s="70"/>
      <c r="F37" s="78"/>
      <c r="G37" s="70"/>
    </row>
    <row r="38" spans="2:7" ht="19.5" customHeight="1">
      <c r="B38" s="175" t="s">
        <v>139</v>
      </c>
      <c r="C38" s="176"/>
      <c r="D38" s="66">
        <v>311235.68</v>
      </c>
      <c r="E38" s="70"/>
      <c r="F38" s="70"/>
      <c r="G38" s="70"/>
    </row>
    <row r="39" spans="2:7" ht="19.5" customHeight="1">
      <c r="B39" s="164" t="s">
        <v>99</v>
      </c>
      <c r="C39" s="168"/>
      <c r="D39" s="66">
        <v>62791.69</v>
      </c>
      <c r="E39" s="70"/>
      <c r="F39" s="70"/>
      <c r="G39" s="70"/>
    </row>
    <row r="40" spans="2:7" ht="19.5" customHeight="1">
      <c r="B40" s="164" t="s">
        <v>101</v>
      </c>
      <c r="C40" s="168"/>
      <c r="D40" s="66">
        <v>105107.58</v>
      </c>
      <c r="E40" s="70"/>
      <c r="F40" s="70"/>
      <c r="G40" s="70"/>
    </row>
    <row r="41" spans="2:7" ht="19.5" customHeight="1">
      <c r="B41" s="164" t="s">
        <v>102</v>
      </c>
      <c r="C41" s="168"/>
      <c r="D41" s="66">
        <v>10358.9</v>
      </c>
      <c r="E41" s="70"/>
      <c r="F41" s="70"/>
      <c r="G41" s="70"/>
    </row>
    <row r="42" spans="2:7" ht="19.5" customHeight="1">
      <c r="B42" s="164" t="s">
        <v>1</v>
      </c>
      <c r="C42" s="168"/>
      <c r="D42" s="66">
        <v>25051.7</v>
      </c>
      <c r="E42" s="70"/>
      <c r="F42" s="70"/>
      <c r="G42" s="70"/>
    </row>
    <row r="43" spans="2:7" ht="19.5" customHeight="1">
      <c r="B43" s="192" t="s">
        <v>103</v>
      </c>
      <c r="C43" s="167"/>
      <c r="D43" s="66">
        <v>8111.3</v>
      </c>
      <c r="E43" s="70"/>
      <c r="F43" s="70"/>
      <c r="G43" s="70"/>
    </row>
    <row r="44" spans="2:7" ht="19.5" customHeight="1">
      <c r="B44" s="192" t="s">
        <v>0</v>
      </c>
      <c r="C44" s="167"/>
      <c r="D44" s="66">
        <f>509.52+2466.76</f>
        <v>2976.28</v>
      </c>
      <c r="E44" s="70"/>
      <c r="F44" s="70"/>
      <c r="G44" s="70"/>
    </row>
    <row r="45" spans="2:7" ht="19.5" customHeight="1">
      <c r="B45" s="192" t="s">
        <v>130</v>
      </c>
      <c r="C45" s="167"/>
      <c r="D45" s="66">
        <v>3050.77</v>
      </c>
      <c r="E45" s="70"/>
      <c r="F45" s="70"/>
      <c r="G45" s="70"/>
    </row>
    <row r="46" spans="2:7" ht="19.5" customHeight="1">
      <c r="B46" s="192" t="s">
        <v>39</v>
      </c>
      <c r="C46" s="167"/>
      <c r="D46" s="66">
        <v>5598.89</v>
      </c>
      <c r="E46" s="70"/>
      <c r="F46" s="70"/>
      <c r="G46" s="70"/>
    </row>
    <row r="47" spans="2:7" ht="19.5" customHeight="1" thickBot="1">
      <c r="B47" s="192" t="s">
        <v>104</v>
      </c>
      <c r="C47" s="167"/>
      <c r="D47" s="81">
        <v>59526.86</v>
      </c>
      <c r="E47" s="70"/>
      <c r="F47" s="70"/>
      <c r="G47" s="70"/>
    </row>
    <row r="48" spans="2:7" ht="19.5" customHeight="1" thickBot="1">
      <c r="B48" s="208" t="s">
        <v>98</v>
      </c>
      <c r="C48" s="209"/>
      <c r="D48" s="142">
        <f>D9+D14+D15+D31+D35+D36+D37</f>
        <v>2412449.1500000004</v>
      </c>
      <c r="E48" s="70"/>
      <c r="F48" s="71"/>
      <c r="G48" s="70"/>
    </row>
    <row r="49" spans="2:7">
      <c r="B49" s="161"/>
      <c r="C49" s="161"/>
      <c r="D49" s="79"/>
      <c r="E49" s="70"/>
      <c r="F49" s="70"/>
      <c r="G49" s="70"/>
    </row>
    <row r="50" spans="2:7">
      <c r="B50" s="161"/>
      <c r="C50" s="161"/>
      <c r="D50" s="80"/>
      <c r="E50" s="70"/>
      <c r="F50" s="70"/>
      <c r="G50" s="70"/>
    </row>
    <row r="51" spans="2:7">
      <c r="B51" s="179"/>
      <c r="C51" s="179"/>
      <c r="D51" s="6"/>
    </row>
  </sheetData>
  <mergeCells count="50">
    <mergeCell ref="B25:C25"/>
    <mergeCell ref="B24:C24"/>
    <mergeCell ref="B26:C26"/>
    <mergeCell ref="B14:C14"/>
    <mergeCell ref="B15:C15"/>
    <mergeCell ref="B16:C16"/>
    <mergeCell ref="B17:C17"/>
    <mergeCell ref="B18:C18"/>
    <mergeCell ref="B19:C19"/>
    <mergeCell ref="B23:C23"/>
    <mergeCell ref="B21:C21"/>
    <mergeCell ref="B22:C22"/>
    <mergeCell ref="B13:C13"/>
    <mergeCell ref="B1:D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50:C50"/>
    <mergeCell ref="B51:C51"/>
    <mergeCell ref="B31:C31"/>
    <mergeCell ref="B45:C45"/>
    <mergeCell ref="B34:C3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32:C32"/>
    <mergeCell ref="B27:C27"/>
    <mergeCell ref="B28:C28"/>
    <mergeCell ref="B46:C46"/>
    <mergeCell ref="B47:C47"/>
    <mergeCell ref="B49:C49"/>
    <mergeCell ref="B35:C35"/>
    <mergeCell ref="B29:C29"/>
    <mergeCell ref="B30:C30"/>
    <mergeCell ref="B48:C4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3"/>
  <sheetViews>
    <sheetView workbookViewId="0">
      <selection activeCell="B3" sqref="B3:C3"/>
    </sheetView>
  </sheetViews>
  <sheetFormatPr defaultRowHeight="15"/>
  <cols>
    <col min="1" max="1" width="3.28515625" customWidth="1"/>
    <col min="2" max="2" width="25" customWidth="1"/>
    <col min="3" max="3" width="56.140625" customWidth="1"/>
    <col min="4" max="4" width="15.140625" customWidth="1"/>
    <col min="5" max="5" width="4" hidden="1" customWidth="1"/>
    <col min="6" max="6" width="6.7109375" customWidth="1"/>
    <col min="8" max="8" width="12.5703125" customWidth="1"/>
    <col min="9" max="9" width="14.42578125" customWidth="1"/>
  </cols>
  <sheetData>
    <row r="1" spans="2:9" ht="38.25" customHeight="1" thickBot="1">
      <c r="B1" s="199" t="s">
        <v>161</v>
      </c>
      <c r="C1" s="200"/>
      <c r="D1" s="201"/>
      <c r="E1" s="160"/>
      <c r="F1" s="154"/>
    </row>
    <row r="2" spans="2:9" ht="19.5" customHeight="1" thickBot="1">
      <c r="B2" s="218" t="s">
        <v>43</v>
      </c>
      <c r="C2" s="218"/>
      <c r="D2" s="55" t="s">
        <v>23</v>
      </c>
      <c r="E2" s="2"/>
      <c r="F2" s="2"/>
    </row>
    <row r="3" spans="2:9" ht="19.5" customHeight="1">
      <c r="B3" s="219" t="s">
        <v>58</v>
      </c>
      <c r="C3" s="219"/>
      <c r="D3" s="46">
        <v>88831.63</v>
      </c>
      <c r="E3" s="2"/>
      <c r="F3" s="2"/>
    </row>
    <row r="4" spans="2:9" ht="19.5" customHeight="1">
      <c r="B4" s="220" t="s">
        <v>49</v>
      </c>
      <c r="C4" s="220"/>
      <c r="D4" s="47">
        <v>893992.56</v>
      </c>
      <c r="E4" s="2"/>
      <c r="F4" s="2"/>
    </row>
    <row r="5" spans="2:9" ht="19.5" customHeight="1">
      <c r="B5" s="220" t="s">
        <v>29</v>
      </c>
      <c r="C5" s="220"/>
      <c r="D5" s="47">
        <v>858690.89</v>
      </c>
      <c r="E5" s="2"/>
      <c r="F5" s="2"/>
    </row>
    <row r="6" spans="2:9" ht="19.5" customHeight="1" thickBot="1">
      <c r="B6" s="222" t="s">
        <v>59</v>
      </c>
      <c r="C6" s="222"/>
      <c r="D6" s="54">
        <f>D3+D4-D5</f>
        <v>124133.30000000005</v>
      </c>
      <c r="E6" s="2"/>
      <c r="F6" s="2"/>
    </row>
    <row r="7" spans="2:9" ht="19.5" customHeight="1" thickBot="1">
      <c r="B7" s="244" t="s">
        <v>97</v>
      </c>
      <c r="C7" s="245"/>
      <c r="D7" s="157">
        <f>D5</f>
        <v>858690.89</v>
      </c>
      <c r="E7" s="17"/>
      <c r="F7" s="2"/>
    </row>
    <row r="8" spans="2:9" ht="19.5" customHeight="1" thickBot="1">
      <c r="B8" s="210" t="s">
        <v>44</v>
      </c>
      <c r="C8" s="211"/>
      <c r="D8" s="56" t="s">
        <v>23</v>
      </c>
      <c r="E8" s="10"/>
    </row>
    <row r="9" spans="2:9" ht="19.5" customHeight="1">
      <c r="B9" s="195" t="s">
        <v>131</v>
      </c>
      <c r="C9" s="196"/>
      <c r="D9" s="53">
        <f>D10+D11+D12+D13+D14</f>
        <v>285220.18</v>
      </c>
      <c r="E9" s="11"/>
      <c r="F9" s="69"/>
      <c r="G9" s="70"/>
      <c r="H9" s="70"/>
      <c r="I9" s="70"/>
    </row>
    <row r="10" spans="2:9" ht="19.5" customHeight="1">
      <c r="B10" s="192" t="s">
        <v>2</v>
      </c>
      <c r="C10" s="167"/>
      <c r="D10" s="39">
        <v>223828</v>
      </c>
      <c r="E10" s="11"/>
      <c r="F10" s="70"/>
      <c r="G10" s="70"/>
      <c r="H10" s="70"/>
      <c r="I10" s="70"/>
    </row>
    <row r="11" spans="2:9" ht="19.5" customHeight="1">
      <c r="B11" s="164" t="s">
        <v>99</v>
      </c>
      <c r="C11" s="168"/>
      <c r="D11" s="39">
        <f>269041.26-D10</f>
        <v>45213.260000000009</v>
      </c>
      <c r="E11" s="11"/>
      <c r="F11" s="70"/>
      <c r="G11" s="70"/>
      <c r="H11" s="70"/>
      <c r="I11" s="70"/>
    </row>
    <row r="12" spans="2:9" ht="19.5" customHeight="1">
      <c r="B12" s="166" t="s">
        <v>40</v>
      </c>
      <c r="C12" s="217"/>
      <c r="D12" s="39">
        <v>2600</v>
      </c>
      <c r="E12" s="11"/>
      <c r="F12" s="70"/>
      <c r="G12" s="70"/>
      <c r="H12" s="70"/>
      <c r="I12" s="70"/>
    </row>
    <row r="13" spans="2:9" ht="19.5" customHeight="1">
      <c r="B13" s="166" t="s">
        <v>72</v>
      </c>
      <c r="C13" s="217"/>
      <c r="D13" s="39">
        <v>8928.99</v>
      </c>
      <c r="E13" s="11"/>
      <c r="F13" s="70"/>
      <c r="G13" s="70"/>
      <c r="H13" s="70"/>
      <c r="I13" s="70"/>
    </row>
    <row r="14" spans="2:9" ht="19.5" customHeight="1" thickBot="1">
      <c r="B14" s="188" t="s">
        <v>105</v>
      </c>
      <c r="C14" s="189"/>
      <c r="D14" s="39">
        <v>4649.93</v>
      </c>
      <c r="E14" s="12"/>
      <c r="F14" s="70"/>
      <c r="G14" s="70"/>
      <c r="H14" s="71"/>
      <c r="I14" s="70"/>
    </row>
    <row r="15" spans="2:9" ht="19.5" customHeight="1" thickBot="1">
      <c r="B15" s="214" t="s">
        <v>4</v>
      </c>
      <c r="C15" s="215"/>
      <c r="D15" s="40">
        <v>63191.22</v>
      </c>
      <c r="E15" s="12"/>
      <c r="F15" s="70"/>
      <c r="G15" s="70"/>
      <c r="H15" s="71"/>
      <c r="I15" s="71"/>
    </row>
    <row r="16" spans="2:9" ht="19.5" customHeight="1">
      <c r="B16" s="171" t="s">
        <v>14</v>
      </c>
      <c r="C16" s="172"/>
      <c r="D16" s="53">
        <f>D17+D18+D19+D20+D22+D23+D24+D25+D26+D27+D21</f>
        <v>334774.37</v>
      </c>
      <c r="E16" s="12"/>
      <c r="F16" s="70"/>
      <c r="G16" s="70"/>
      <c r="H16" s="70"/>
      <c r="I16" s="70"/>
    </row>
    <row r="17" spans="2:9" ht="19.5" customHeight="1">
      <c r="B17" s="175" t="s">
        <v>112</v>
      </c>
      <c r="C17" s="176"/>
      <c r="D17" s="72">
        <f>24578.26-D14-D18-1562.54</f>
        <v>8288.3299999999981</v>
      </c>
      <c r="E17" s="12"/>
      <c r="F17" s="70"/>
      <c r="G17" s="70"/>
      <c r="H17" s="70"/>
      <c r="I17" s="70"/>
    </row>
    <row r="18" spans="2:9" ht="19.5" customHeight="1">
      <c r="B18" s="223" t="s">
        <v>5</v>
      </c>
      <c r="C18" s="224"/>
      <c r="D18" s="73">
        <v>10077.459999999999</v>
      </c>
      <c r="E18" s="12"/>
      <c r="F18" s="70"/>
      <c r="G18" s="70"/>
      <c r="H18" s="70"/>
      <c r="I18" s="70"/>
    </row>
    <row r="19" spans="2:9" ht="19.5" customHeight="1">
      <c r="B19" s="212" t="s">
        <v>117</v>
      </c>
      <c r="C19" s="213"/>
      <c r="D19" s="41">
        <v>212669.58</v>
      </c>
      <c r="E19" s="12"/>
      <c r="F19" s="70"/>
      <c r="G19" s="70"/>
      <c r="H19" s="70"/>
      <c r="I19" s="70"/>
    </row>
    <row r="20" spans="2:9" ht="19.5" customHeight="1">
      <c r="B20" s="192" t="s">
        <v>99</v>
      </c>
      <c r="C20" s="167"/>
      <c r="D20" s="39">
        <v>42802.31</v>
      </c>
      <c r="E20" s="11"/>
      <c r="F20" s="70"/>
      <c r="G20" s="70"/>
      <c r="H20" s="70"/>
      <c r="I20" s="70"/>
    </row>
    <row r="21" spans="2:9" ht="19.5" customHeight="1">
      <c r="B21" s="149" t="s">
        <v>96</v>
      </c>
      <c r="C21" s="148"/>
      <c r="D21" s="39">
        <v>4247.33</v>
      </c>
      <c r="E21" s="11"/>
      <c r="F21" s="70"/>
      <c r="G21" s="70"/>
      <c r="H21" s="70"/>
      <c r="I21" s="70"/>
    </row>
    <row r="22" spans="2:9" ht="19.5" customHeight="1">
      <c r="B22" s="164" t="s">
        <v>32</v>
      </c>
      <c r="C22" s="165"/>
      <c r="D22" s="39">
        <f>1462.54+100+2595.21</f>
        <v>4157.75</v>
      </c>
      <c r="E22" s="11"/>
      <c r="F22" s="70"/>
      <c r="G22" s="70"/>
      <c r="H22" s="70"/>
      <c r="I22" s="70"/>
    </row>
    <row r="23" spans="2:9" ht="19.5" customHeight="1">
      <c r="B23" s="177" t="s">
        <v>19</v>
      </c>
      <c r="C23" s="178"/>
      <c r="D23" s="39">
        <v>19338.41</v>
      </c>
      <c r="E23" s="11"/>
      <c r="F23" s="70"/>
      <c r="G23" s="70"/>
      <c r="H23" s="70"/>
      <c r="I23" s="70"/>
    </row>
    <row r="24" spans="2:9" ht="19.5" customHeight="1">
      <c r="B24" s="177" t="s">
        <v>41</v>
      </c>
      <c r="C24" s="229"/>
      <c r="D24" s="39">
        <v>8202.86</v>
      </c>
      <c r="E24" s="11"/>
      <c r="F24" s="70"/>
      <c r="G24" s="70"/>
      <c r="H24" s="70"/>
      <c r="I24" s="70"/>
    </row>
    <row r="25" spans="2:9" ht="19.5" customHeight="1">
      <c r="B25" s="166" t="s">
        <v>152</v>
      </c>
      <c r="C25" s="217"/>
      <c r="D25" s="39">
        <v>21120</v>
      </c>
      <c r="E25" s="11"/>
      <c r="F25" s="70"/>
      <c r="G25" s="70"/>
      <c r="H25" s="70"/>
      <c r="I25" s="70"/>
    </row>
    <row r="26" spans="2:9" ht="19.5" customHeight="1">
      <c r="B26" s="166" t="s">
        <v>33</v>
      </c>
      <c r="C26" s="167"/>
      <c r="D26" s="39">
        <v>847.06</v>
      </c>
      <c r="E26" s="13"/>
      <c r="F26" s="70"/>
      <c r="G26" s="70"/>
      <c r="H26" s="70"/>
      <c r="I26" s="70"/>
    </row>
    <row r="27" spans="2:9" ht="19.5" customHeight="1" thickBot="1">
      <c r="B27" s="188" t="s">
        <v>123</v>
      </c>
      <c r="C27" s="189"/>
      <c r="D27" s="42">
        <f>960+2063.28</f>
        <v>3023.28</v>
      </c>
      <c r="E27" s="74"/>
      <c r="F27" s="70"/>
      <c r="G27" s="70"/>
      <c r="H27" s="70"/>
      <c r="I27" s="70"/>
    </row>
    <row r="28" spans="2:9" ht="19.5" customHeight="1" thickBot="1">
      <c r="B28" s="193" t="s">
        <v>42</v>
      </c>
      <c r="C28" s="205"/>
      <c r="D28" s="43">
        <v>416.76</v>
      </c>
      <c r="E28" s="74"/>
      <c r="F28" s="70"/>
      <c r="G28" s="70"/>
      <c r="H28" s="70"/>
      <c r="I28" s="70"/>
    </row>
    <row r="29" spans="2:9" ht="19.5" customHeight="1" thickBot="1">
      <c r="B29" s="193" t="s">
        <v>142</v>
      </c>
      <c r="C29" s="194"/>
      <c r="D29" s="40">
        <v>2618.9699999999998</v>
      </c>
      <c r="E29" s="70"/>
      <c r="F29" s="70"/>
      <c r="G29" s="70"/>
      <c r="H29" s="70"/>
      <c r="I29" s="70"/>
    </row>
    <row r="30" spans="2:9" ht="19.5" customHeight="1">
      <c r="B30" s="171" t="s">
        <v>24</v>
      </c>
      <c r="C30" s="172"/>
      <c r="D30" s="38">
        <f>D31+D32+D33+D34+D35+D36+D37+D38+D39+D40</f>
        <v>213333.40999999997</v>
      </c>
      <c r="E30" s="70"/>
      <c r="F30" s="70"/>
      <c r="G30" s="70"/>
      <c r="H30" s="70"/>
      <c r="I30" s="70"/>
    </row>
    <row r="31" spans="2:9" ht="19.5" customHeight="1">
      <c r="B31" s="175" t="s">
        <v>139</v>
      </c>
      <c r="C31" s="176"/>
      <c r="D31" s="66">
        <v>111454.36</v>
      </c>
      <c r="E31" s="70"/>
      <c r="F31" s="70"/>
      <c r="G31" s="70"/>
      <c r="H31" s="70"/>
      <c r="I31" s="70"/>
    </row>
    <row r="32" spans="2:9" ht="19.5" customHeight="1">
      <c r="B32" s="164" t="s">
        <v>99</v>
      </c>
      <c r="C32" s="168"/>
      <c r="D32" s="66">
        <v>22485.88</v>
      </c>
      <c r="E32" s="70"/>
      <c r="F32" s="70"/>
      <c r="G32" s="70"/>
      <c r="H32" s="70"/>
      <c r="I32" s="70"/>
    </row>
    <row r="33" spans="2:9" ht="19.5" customHeight="1">
      <c r="B33" s="164" t="s">
        <v>101</v>
      </c>
      <c r="C33" s="168"/>
      <c r="D33" s="66">
        <v>37639.31</v>
      </c>
      <c r="E33" s="70"/>
      <c r="F33" s="70"/>
      <c r="G33" s="70"/>
      <c r="H33" s="70"/>
      <c r="I33" s="70"/>
    </row>
    <row r="34" spans="2:9" ht="19.5" customHeight="1">
      <c r="B34" s="164" t="s">
        <v>107</v>
      </c>
      <c r="C34" s="168"/>
      <c r="D34" s="66">
        <v>3709.55</v>
      </c>
      <c r="E34" s="70"/>
      <c r="F34" s="70"/>
      <c r="G34" s="70"/>
      <c r="H34" s="70"/>
      <c r="I34" s="70"/>
    </row>
    <row r="35" spans="2:9" ht="19.5" customHeight="1">
      <c r="B35" s="164" t="s">
        <v>1</v>
      </c>
      <c r="C35" s="168"/>
      <c r="D35" s="66">
        <v>8971.08</v>
      </c>
      <c r="E35" s="70"/>
      <c r="F35" s="70"/>
      <c r="G35" s="70"/>
      <c r="H35" s="70"/>
      <c r="I35" s="70"/>
    </row>
    <row r="36" spans="2:9" ht="19.5" customHeight="1">
      <c r="B36" s="192" t="s">
        <v>103</v>
      </c>
      <c r="C36" s="167"/>
      <c r="D36" s="66">
        <v>2904.68</v>
      </c>
      <c r="E36" s="70"/>
      <c r="F36" s="70"/>
      <c r="G36" s="70"/>
      <c r="H36" s="70"/>
      <c r="I36" s="70"/>
    </row>
    <row r="37" spans="2:9" ht="19.5" customHeight="1">
      <c r="B37" s="192" t="s">
        <v>0</v>
      </c>
      <c r="C37" s="167"/>
      <c r="D37" s="66">
        <f>871+883.35</f>
        <v>1754.35</v>
      </c>
      <c r="E37" s="70"/>
      <c r="F37" s="70"/>
      <c r="G37" s="70"/>
      <c r="H37" s="70"/>
      <c r="I37" s="70"/>
    </row>
    <row r="38" spans="2:9" ht="19.5" customHeight="1">
      <c r="B38" s="192" t="s">
        <v>109</v>
      </c>
      <c r="C38" s="167"/>
      <c r="D38" s="66">
        <v>1092.49</v>
      </c>
      <c r="E38" s="70"/>
      <c r="F38" s="70"/>
      <c r="G38" s="70"/>
      <c r="H38" s="70"/>
      <c r="I38" s="70"/>
    </row>
    <row r="39" spans="2:9" ht="19.5" customHeight="1">
      <c r="B39" s="192" t="s">
        <v>13</v>
      </c>
      <c r="C39" s="167"/>
      <c r="D39" s="66">
        <v>2004.98</v>
      </c>
      <c r="E39" s="70"/>
      <c r="F39" s="70"/>
      <c r="G39" s="70"/>
      <c r="H39" s="70"/>
      <c r="I39" s="70"/>
    </row>
    <row r="40" spans="2:9" ht="19.5" customHeight="1" thickBot="1">
      <c r="B40" s="192" t="s">
        <v>104</v>
      </c>
      <c r="C40" s="167"/>
      <c r="D40" s="81">
        <v>21316.73</v>
      </c>
    </row>
    <row r="41" spans="2:9" ht="19.5" customHeight="1" thickBot="1">
      <c r="B41" s="208" t="s">
        <v>98</v>
      </c>
      <c r="C41" s="209"/>
      <c r="D41" s="143">
        <f>D9+D15+D16+D28+D29+D30</f>
        <v>899554.90999999992</v>
      </c>
      <c r="E41" s="7"/>
    </row>
    <row r="42" spans="2:9">
      <c r="B42" s="230"/>
      <c r="C42" s="230"/>
      <c r="D42" s="31"/>
      <c r="E42" s="7"/>
    </row>
    <row r="43" spans="2:9">
      <c r="B43" s="230"/>
      <c r="C43" s="230"/>
      <c r="D43" s="31"/>
      <c r="E43" s="7"/>
      <c r="F43" s="7"/>
    </row>
  </sheetData>
  <mergeCells count="42">
    <mergeCell ref="B12:C12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35:C35"/>
    <mergeCell ref="B28:C28"/>
    <mergeCell ref="B42:C42"/>
    <mergeCell ref="B43:C43"/>
    <mergeCell ref="B16:C16"/>
    <mergeCell ref="B17:C17"/>
    <mergeCell ref="B18:C18"/>
    <mergeCell ref="B19:C19"/>
    <mergeCell ref="B20:C20"/>
    <mergeCell ref="B23:C23"/>
    <mergeCell ref="B26:C26"/>
    <mergeCell ref="B27:C27"/>
    <mergeCell ref="B36:C36"/>
    <mergeCell ref="B37:C37"/>
    <mergeCell ref="B24:C24"/>
    <mergeCell ref="B41:C41"/>
    <mergeCell ref="B1:D1"/>
    <mergeCell ref="B6:C6"/>
    <mergeCell ref="B25:C25"/>
    <mergeCell ref="B2:C2"/>
    <mergeCell ref="B3:C3"/>
    <mergeCell ref="B4:C4"/>
    <mergeCell ref="B5:C5"/>
    <mergeCell ref="B22:C22"/>
    <mergeCell ref="B8:C8"/>
    <mergeCell ref="B9:C9"/>
    <mergeCell ref="B10:C10"/>
    <mergeCell ref="B13:C13"/>
    <mergeCell ref="B14:C14"/>
    <mergeCell ref="B15:C15"/>
    <mergeCell ref="B7:C7"/>
    <mergeCell ref="B11:C11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8"/>
  <sheetViews>
    <sheetView topLeftCell="A16" workbookViewId="0">
      <selection activeCell="B33" sqref="B33:C33"/>
    </sheetView>
  </sheetViews>
  <sheetFormatPr defaultRowHeight="15"/>
  <cols>
    <col min="1" max="1" width="4.140625" customWidth="1"/>
    <col min="2" max="2" width="25.5703125" customWidth="1"/>
    <col min="3" max="3" width="56.85546875" customWidth="1"/>
    <col min="4" max="4" width="16.5703125" customWidth="1"/>
    <col min="5" max="5" width="19.140625" customWidth="1"/>
    <col min="6" max="6" width="14" customWidth="1"/>
    <col min="7" max="7" width="17" customWidth="1"/>
  </cols>
  <sheetData>
    <row r="1" spans="2:7" ht="34.5" customHeight="1" thickBot="1">
      <c r="B1" s="199" t="s">
        <v>162</v>
      </c>
      <c r="C1" s="200"/>
      <c r="D1" s="201"/>
    </row>
    <row r="2" spans="2:7" ht="19.5" customHeight="1" thickBot="1">
      <c r="B2" s="292" t="s">
        <v>43</v>
      </c>
      <c r="C2" s="293"/>
      <c r="D2" s="51" t="s">
        <v>23</v>
      </c>
    </row>
    <row r="3" spans="2:7" ht="19.5" customHeight="1">
      <c r="B3" s="182" t="s">
        <v>77</v>
      </c>
      <c r="C3" s="183"/>
      <c r="D3" s="46">
        <v>143300.78</v>
      </c>
    </row>
    <row r="4" spans="2:7" ht="19.5" customHeight="1">
      <c r="B4" s="184" t="s">
        <v>53</v>
      </c>
      <c r="C4" s="185"/>
      <c r="D4" s="47">
        <v>1279151.5900000001</v>
      </c>
    </row>
    <row r="5" spans="2:7" ht="19.5" customHeight="1">
      <c r="B5" s="184" t="s">
        <v>35</v>
      </c>
      <c r="C5" s="185"/>
      <c r="D5" s="47">
        <v>1294921.81</v>
      </c>
    </row>
    <row r="6" spans="2:7" ht="19.5" customHeight="1" thickBot="1">
      <c r="B6" s="186" t="s">
        <v>89</v>
      </c>
      <c r="C6" s="187"/>
      <c r="D6" s="54">
        <f>D3+D4-D5</f>
        <v>127530.56000000006</v>
      </c>
    </row>
    <row r="7" spans="2:7" ht="19.5" customHeight="1" thickBot="1">
      <c r="B7" s="208" t="s">
        <v>97</v>
      </c>
      <c r="C7" s="209"/>
      <c r="D7" s="50">
        <f>D5</f>
        <v>1294921.81</v>
      </c>
    </row>
    <row r="8" spans="2:7" ht="19.5" customHeight="1" thickBot="1">
      <c r="B8" s="162" t="s">
        <v>44</v>
      </c>
      <c r="C8" s="163"/>
      <c r="D8" s="36" t="s">
        <v>23</v>
      </c>
    </row>
    <row r="9" spans="2:7" ht="19.5" customHeight="1" thickBot="1">
      <c r="B9" s="266" t="s">
        <v>8</v>
      </c>
      <c r="C9" s="267"/>
      <c r="D9" s="53">
        <f>D10+D11+D12+D13</f>
        <v>328309.21000000002</v>
      </c>
      <c r="E9" s="70"/>
      <c r="F9" s="70"/>
      <c r="G9" s="70"/>
    </row>
    <row r="10" spans="2:7" ht="19.5" customHeight="1">
      <c r="B10" s="300" t="s">
        <v>2</v>
      </c>
      <c r="C10" s="301"/>
      <c r="D10" s="39">
        <f>436568-168008</f>
        <v>268560</v>
      </c>
      <c r="E10" s="70"/>
      <c r="F10" s="70"/>
      <c r="G10" s="70"/>
    </row>
    <row r="11" spans="2:7" ht="19.5" customHeight="1">
      <c r="B11" s="164" t="s">
        <v>99</v>
      </c>
      <c r="C11" s="168"/>
      <c r="D11" s="39">
        <f>87313.6+873.15-33937.62</f>
        <v>54249.13</v>
      </c>
      <c r="E11" s="70"/>
      <c r="F11" s="71"/>
      <c r="G11" s="70"/>
    </row>
    <row r="12" spans="2:7" ht="19.5" customHeight="1">
      <c r="B12" s="164" t="s">
        <v>105</v>
      </c>
      <c r="C12" s="165"/>
      <c r="D12" s="39">
        <v>2900.08</v>
      </c>
      <c r="E12" s="70"/>
      <c r="F12" s="71"/>
      <c r="G12" s="71"/>
    </row>
    <row r="13" spans="2:7" ht="19.5" customHeight="1" thickBot="1">
      <c r="B13" s="164" t="s">
        <v>40</v>
      </c>
      <c r="C13" s="165"/>
      <c r="D13" s="39">
        <v>2600</v>
      </c>
      <c r="E13" s="70"/>
      <c r="F13" s="70"/>
      <c r="G13" s="70"/>
    </row>
    <row r="14" spans="2:7" ht="19.5" customHeight="1">
      <c r="B14" s="171" t="s">
        <v>14</v>
      </c>
      <c r="C14" s="172"/>
      <c r="D14" s="38">
        <f>D15+D16+D17+D18+D19+D20+D21+D22+D23+D24+D25+D26+D28+D29</f>
        <v>718649.11999999988</v>
      </c>
      <c r="E14" s="70"/>
      <c r="F14" s="70"/>
      <c r="G14" s="70"/>
    </row>
    <row r="15" spans="2:7" ht="19.5" customHeight="1">
      <c r="B15" s="175" t="s">
        <v>116</v>
      </c>
      <c r="C15" s="176"/>
      <c r="D15" s="75">
        <f>103164.67-D12-D16-631.85-100</f>
        <v>93260.079999999987</v>
      </c>
      <c r="E15" s="70"/>
      <c r="F15" s="70"/>
      <c r="G15" s="70"/>
    </row>
    <row r="16" spans="2:7" ht="19.5" customHeight="1">
      <c r="B16" s="223" t="s">
        <v>5</v>
      </c>
      <c r="C16" s="224"/>
      <c r="D16" s="76">
        <v>6272.66</v>
      </c>
      <c r="E16" s="70"/>
      <c r="F16" s="70"/>
      <c r="G16" s="70"/>
    </row>
    <row r="17" spans="2:7" ht="19.5" customHeight="1">
      <c r="B17" s="212" t="s">
        <v>113</v>
      </c>
      <c r="C17" s="213"/>
      <c r="D17" s="65">
        <v>361581.8</v>
      </c>
      <c r="E17" s="70"/>
      <c r="F17" s="70"/>
      <c r="G17" s="70"/>
    </row>
    <row r="18" spans="2:7" ht="19.5" customHeight="1">
      <c r="B18" s="192" t="s">
        <v>99</v>
      </c>
      <c r="C18" s="167"/>
      <c r="D18" s="66">
        <v>72772.679999999993</v>
      </c>
      <c r="E18" s="70"/>
      <c r="F18" s="70"/>
      <c r="G18" s="70"/>
    </row>
    <row r="19" spans="2:7" ht="19.5" customHeight="1">
      <c r="B19" s="192" t="s">
        <v>37</v>
      </c>
      <c r="C19" s="202"/>
      <c r="D19" s="66">
        <v>30000</v>
      </c>
      <c r="E19" s="70"/>
      <c r="F19" s="70"/>
      <c r="G19" s="70"/>
    </row>
    <row r="20" spans="2:7" ht="19.5" customHeight="1">
      <c r="B20" s="164" t="s">
        <v>32</v>
      </c>
      <c r="C20" s="165"/>
      <c r="D20" s="66">
        <f>3712.36+100+631.85</f>
        <v>4444.21</v>
      </c>
      <c r="E20" s="70"/>
      <c r="F20" s="70"/>
      <c r="G20" s="70"/>
    </row>
    <row r="21" spans="2:7" ht="19.5" customHeight="1">
      <c r="B21" s="149" t="s">
        <v>96</v>
      </c>
      <c r="C21" s="148"/>
      <c r="D21" s="66">
        <v>6075.65</v>
      </c>
      <c r="E21" s="70"/>
      <c r="F21" s="70"/>
      <c r="G21" s="70"/>
    </row>
    <row r="22" spans="2:7" ht="19.5" customHeight="1">
      <c r="B22" s="177" t="s">
        <v>19</v>
      </c>
      <c r="C22" s="178"/>
      <c r="D22" s="66">
        <v>27662.89</v>
      </c>
      <c r="E22" s="70"/>
      <c r="F22" s="70"/>
      <c r="G22" s="70"/>
    </row>
    <row r="23" spans="2:7" ht="19.5" customHeight="1">
      <c r="B23" s="166" t="s">
        <v>33</v>
      </c>
      <c r="C23" s="167"/>
      <c r="D23" s="66">
        <v>1211.7</v>
      </c>
      <c r="E23" s="70"/>
      <c r="F23" s="70"/>
      <c r="G23" s="70"/>
    </row>
    <row r="24" spans="2:7" ht="19.5" customHeight="1">
      <c r="B24" s="175" t="s">
        <v>106</v>
      </c>
      <c r="C24" s="176"/>
      <c r="D24" s="66">
        <f>2951.45+800+776</f>
        <v>4527.45</v>
      </c>
      <c r="E24" s="70"/>
      <c r="F24" s="70"/>
      <c r="G24" s="70"/>
    </row>
    <row r="25" spans="2:7" ht="19.5" customHeight="1">
      <c r="B25" s="164" t="s">
        <v>94</v>
      </c>
      <c r="C25" s="165"/>
      <c r="D25" s="66">
        <v>1000</v>
      </c>
      <c r="E25" s="70"/>
      <c r="F25" s="70"/>
      <c r="G25" s="70"/>
    </row>
    <row r="26" spans="2:7" ht="19.5" customHeight="1">
      <c r="B26" s="164" t="s">
        <v>178</v>
      </c>
      <c r="C26" s="165"/>
      <c r="D26" s="66">
        <v>13500</v>
      </c>
      <c r="E26" s="70"/>
      <c r="F26" s="70"/>
      <c r="G26" s="70"/>
    </row>
    <row r="27" spans="2:7" ht="19.5" customHeight="1">
      <c r="B27" s="164" t="s">
        <v>177</v>
      </c>
      <c r="C27" s="165"/>
      <c r="D27" s="66"/>
      <c r="E27" s="70"/>
      <c r="F27" s="70"/>
      <c r="G27" s="70"/>
    </row>
    <row r="28" spans="2:7" ht="19.5" customHeight="1">
      <c r="B28" s="164" t="s">
        <v>176</v>
      </c>
      <c r="C28" s="165"/>
      <c r="D28" s="66">
        <v>71440</v>
      </c>
      <c r="E28" s="70"/>
      <c r="F28" s="70"/>
      <c r="G28" s="70"/>
    </row>
    <row r="29" spans="2:7" ht="19.5" customHeight="1" thickBot="1">
      <c r="B29" s="164" t="s">
        <v>179</v>
      </c>
      <c r="C29" s="165"/>
      <c r="D29" s="81">
        <f>2000+22900</f>
        <v>24900</v>
      </c>
      <c r="E29" s="70"/>
      <c r="F29" s="70"/>
      <c r="G29" s="70"/>
    </row>
    <row r="30" spans="2:7" ht="19.5" customHeight="1" thickBot="1">
      <c r="B30" s="193" t="s">
        <v>42</v>
      </c>
      <c r="C30" s="205"/>
      <c r="D30" s="43">
        <v>596.16</v>
      </c>
      <c r="E30" s="70"/>
      <c r="F30" s="70"/>
      <c r="G30" s="70"/>
    </row>
    <row r="31" spans="2:7" ht="19.5" customHeight="1">
      <c r="B31" s="171" t="s">
        <v>34</v>
      </c>
      <c r="C31" s="172"/>
      <c r="D31" s="77">
        <f>D32+D33</f>
        <v>12309</v>
      </c>
      <c r="E31" s="70"/>
      <c r="F31" s="70"/>
      <c r="G31" s="70"/>
    </row>
    <row r="32" spans="2:7" ht="19.5" customHeight="1">
      <c r="B32" s="175" t="s">
        <v>16</v>
      </c>
      <c r="C32" s="176"/>
      <c r="D32" s="39">
        <v>1309</v>
      </c>
      <c r="E32" s="70"/>
      <c r="F32" s="70"/>
      <c r="G32" s="70"/>
    </row>
    <row r="33" spans="2:7" ht="19.5" customHeight="1" thickBot="1">
      <c r="B33" s="164" t="s">
        <v>56</v>
      </c>
      <c r="C33" s="165"/>
      <c r="D33" s="39">
        <v>11000</v>
      </c>
      <c r="E33" s="70"/>
      <c r="F33" s="70"/>
      <c r="G33" s="70"/>
    </row>
    <row r="34" spans="2:7" ht="19.5" customHeight="1" thickBot="1">
      <c r="B34" s="193" t="s">
        <v>142</v>
      </c>
      <c r="C34" s="194"/>
      <c r="D34" s="40">
        <v>3746.35</v>
      </c>
      <c r="E34" s="70"/>
      <c r="F34" s="70"/>
      <c r="G34" s="70"/>
    </row>
    <row r="35" spans="2:7" ht="19.5" customHeight="1">
      <c r="B35" s="171" t="s">
        <v>31</v>
      </c>
      <c r="C35" s="172"/>
      <c r="D35" s="38">
        <f>D36+D37+D38+D39+D40+D41+D42+D43+D44+D45</f>
        <v>305799.75999999995</v>
      </c>
      <c r="E35" s="70"/>
      <c r="F35" s="70"/>
      <c r="G35" s="70"/>
    </row>
    <row r="36" spans="2:7" ht="19.5" customHeight="1">
      <c r="B36" s="175" t="s">
        <v>163</v>
      </c>
      <c r="C36" s="176"/>
      <c r="D36" s="66">
        <v>159431.4</v>
      </c>
      <c r="E36" s="70"/>
      <c r="F36" s="70"/>
      <c r="G36" s="70"/>
    </row>
    <row r="37" spans="2:7" ht="19.5" customHeight="1">
      <c r="B37" s="164" t="s">
        <v>99</v>
      </c>
      <c r="C37" s="168"/>
      <c r="D37" s="66">
        <v>32165.23</v>
      </c>
      <c r="E37" s="70"/>
      <c r="F37" s="70"/>
      <c r="G37" s="70"/>
    </row>
    <row r="38" spans="2:7" ht="19.5" customHeight="1">
      <c r="B38" s="164" t="s">
        <v>101</v>
      </c>
      <c r="C38" s="168"/>
      <c r="D38" s="66">
        <v>53841.67</v>
      </c>
      <c r="E38" s="70"/>
      <c r="F38" s="70"/>
      <c r="G38" s="70"/>
    </row>
    <row r="39" spans="2:7" ht="19.5" customHeight="1">
      <c r="B39" s="164" t="s">
        <v>102</v>
      </c>
      <c r="C39" s="168"/>
      <c r="D39" s="66">
        <v>5306.38</v>
      </c>
      <c r="E39" s="70"/>
      <c r="F39" s="70"/>
      <c r="G39" s="70"/>
    </row>
    <row r="40" spans="2:7" ht="19.5" customHeight="1">
      <c r="B40" s="164" t="s">
        <v>1</v>
      </c>
      <c r="C40" s="168"/>
      <c r="D40" s="66">
        <f>12832.81+1880</f>
        <v>14712.81</v>
      </c>
      <c r="E40" s="70"/>
      <c r="F40" s="70"/>
      <c r="G40" s="70"/>
    </row>
    <row r="41" spans="2:7" ht="19.5" customHeight="1">
      <c r="B41" s="192" t="s">
        <v>103</v>
      </c>
      <c r="C41" s="167"/>
      <c r="D41" s="66">
        <v>4155.04</v>
      </c>
      <c r="E41" s="70"/>
      <c r="F41" s="70"/>
      <c r="G41" s="70"/>
    </row>
    <row r="42" spans="2:7" ht="19.5" customHeight="1">
      <c r="B42" s="192" t="s">
        <v>0</v>
      </c>
      <c r="C42" s="167"/>
      <c r="D42" s="66">
        <v>1263.6099999999999</v>
      </c>
      <c r="E42" s="70"/>
      <c r="F42" s="70"/>
      <c r="G42" s="70"/>
    </row>
    <row r="43" spans="2:7" ht="19.5" customHeight="1">
      <c r="B43" s="192" t="s">
        <v>109</v>
      </c>
      <c r="C43" s="167"/>
      <c r="D43" s="66">
        <v>1562.76</v>
      </c>
      <c r="E43" s="70"/>
      <c r="F43" s="70"/>
      <c r="G43" s="70"/>
    </row>
    <row r="44" spans="2:7" ht="19.5" customHeight="1">
      <c r="B44" s="192" t="s">
        <v>13</v>
      </c>
      <c r="C44" s="167"/>
      <c r="D44" s="66">
        <v>2868.05</v>
      </c>
      <c r="E44" s="70"/>
      <c r="F44" s="70"/>
      <c r="G44" s="70"/>
    </row>
    <row r="45" spans="2:7" ht="19.5" customHeight="1" thickBot="1">
      <c r="B45" s="192" t="s">
        <v>104</v>
      </c>
      <c r="C45" s="167"/>
      <c r="D45" s="81">
        <v>30492.81</v>
      </c>
      <c r="E45" s="70"/>
      <c r="F45" s="70"/>
      <c r="G45" s="70"/>
    </row>
    <row r="46" spans="2:7" ht="19.5" customHeight="1" thickBot="1">
      <c r="B46" s="208" t="s">
        <v>98</v>
      </c>
      <c r="C46" s="209"/>
      <c r="D46" s="142">
        <f>D9+D14+D30+D31+D34+D35</f>
        <v>1369409.5999999999</v>
      </c>
      <c r="E46" s="70"/>
      <c r="F46" s="70"/>
      <c r="G46" s="70"/>
    </row>
    <row r="47" spans="2:7">
      <c r="B47" s="161"/>
      <c r="C47" s="161"/>
      <c r="D47" s="5"/>
      <c r="E47" s="2"/>
    </row>
    <row r="48" spans="2:7">
      <c r="B48" s="161"/>
      <c r="C48" s="161"/>
      <c r="D48" s="30"/>
      <c r="E48" s="2"/>
    </row>
  </sheetData>
  <mergeCells count="47">
    <mergeCell ref="B48:C48"/>
    <mergeCell ref="B41:C41"/>
    <mergeCell ref="B42:C42"/>
    <mergeCell ref="B43:C43"/>
    <mergeCell ref="B44:C44"/>
    <mergeCell ref="B45:C45"/>
    <mergeCell ref="B47:C47"/>
    <mergeCell ref="B46:C46"/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11:C11"/>
    <mergeCell ref="B24:C24"/>
    <mergeCell ref="B14:C14"/>
    <mergeCell ref="B15:C15"/>
    <mergeCell ref="B16:C16"/>
    <mergeCell ref="B17:C17"/>
    <mergeCell ref="B18:C18"/>
    <mergeCell ref="B20:C20"/>
    <mergeCell ref="B22:C22"/>
    <mergeCell ref="B23:C23"/>
    <mergeCell ref="B13:C13"/>
    <mergeCell ref="B6:C6"/>
    <mergeCell ref="B7:C7"/>
    <mergeCell ref="B8:C8"/>
    <mergeCell ref="B9:C9"/>
    <mergeCell ref="B10:C10"/>
    <mergeCell ref="B1:D1"/>
    <mergeCell ref="B2:C2"/>
    <mergeCell ref="B3:C3"/>
    <mergeCell ref="B4:C4"/>
    <mergeCell ref="B5:C5"/>
    <mergeCell ref="B30:C30"/>
    <mergeCell ref="B25:C25"/>
    <mergeCell ref="B12:C12"/>
    <mergeCell ref="B29:C29"/>
    <mergeCell ref="B19:C19"/>
    <mergeCell ref="B28:C28"/>
    <mergeCell ref="B27:C27"/>
    <mergeCell ref="B26:C26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6"/>
  <sheetViews>
    <sheetView topLeftCell="A2" workbookViewId="0">
      <selection activeCell="B8" sqref="B8:C8"/>
    </sheetView>
  </sheetViews>
  <sheetFormatPr defaultRowHeight="15"/>
  <cols>
    <col min="1" max="1" width="5.5703125" customWidth="1"/>
    <col min="2" max="2" width="37.5703125" customWidth="1"/>
    <col min="3" max="3" width="48.140625" customWidth="1"/>
    <col min="4" max="4" width="12.7109375" customWidth="1"/>
    <col min="5" max="5" width="9.140625" hidden="1" customWidth="1"/>
    <col min="6" max="6" width="3.85546875" customWidth="1"/>
    <col min="8" max="8" width="13.42578125" customWidth="1"/>
    <col min="9" max="9" width="13.140625" customWidth="1"/>
    <col min="10" max="10" width="16.5703125" customWidth="1"/>
  </cols>
  <sheetData>
    <row r="1" spans="2:10" ht="18.75" hidden="1" customHeight="1" thickBot="1"/>
    <row r="2" spans="2:10" ht="34.5" customHeight="1" thickBot="1">
      <c r="B2" s="199" t="s">
        <v>164</v>
      </c>
      <c r="C2" s="200"/>
      <c r="D2" s="201"/>
      <c r="E2" s="160"/>
      <c r="F2" s="154"/>
    </row>
    <row r="3" spans="2:10" ht="19.5" customHeight="1" thickBot="1">
      <c r="B3" s="218" t="s">
        <v>43</v>
      </c>
      <c r="C3" s="218"/>
      <c r="D3" s="55" t="s">
        <v>23</v>
      </c>
      <c r="E3" s="2"/>
      <c r="F3" s="2"/>
    </row>
    <row r="4" spans="2:10" ht="19.5" customHeight="1">
      <c r="B4" s="294" t="s">
        <v>77</v>
      </c>
      <c r="C4" s="295"/>
      <c r="D4" s="144">
        <v>128351.05</v>
      </c>
      <c r="E4" s="2"/>
      <c r="F4" s="2"/>
    </row>
    <row r="5" spans="2:10" ht="19.5" customHeight="1">
      <c r="B5" s="220" t="s">
        <v>49</v>
      </c>
      <c r="C5" s="220"/>
      <c r="D5" s="47">
        <v>896269.92</v>
      </c>
      <c r="E5" s="2"/>
      <c r="F5" s="2"/>
    </row>
    <row r="6" spans="2:10" ht="19.5" customHeight="1">
      <c r="B6" s="220" t="s">
        <v>29</v>
      </c>
      <c r="C6" s="220"/>
      <c r="D6" s="47">
        <v>878378.79</v>
      </c>
      <c r="E6" s="2"/>
      <c r="F6" s="2"/>
    </row>
    <row r="7" spans="2:10" ht="19.5" customHeight="1" thickBot="1">
      <c r="B7" s="222" t="s">
        <v>59</v>
      </c>
      <c r="C7" s="222"/>
      <c r="D7" s="54">
        <f>D4+D5-D6</f>
        <v>146242.18000000005</v>
      </c>
      <c r="E7" s="2"/>
      <c r="F7" s="2"/>
    </row>
    <row r="8" spans="2:10" ht="19.5" customHeight="1" thickBot="1">
      <c r="B8" s="244" t="s">
        <v>97</v>
      </c>
      <c r="C8" s="245"/>
      <c r="D8" s="157">
        <f>D6</f>
        <v>878378.79</v>
      </c>
      <c r="E8" s="17"/>
      <c r="F8" s="2"/>
    </row>
    <row r="9" spans="2:10" ht="19.5" customHeight="1" thickBot="1">
      <c r="B9" s="302" t="s">
        <v>54</v>
      </c>
      <c r="C9" s="303"/>
      <c r="D9" s="56" t="s">
        <v>23</v>
      </c>
      <c r="E9" s="10"/>
    </row>
    <row r="10" spans="2:10" ht="19.5" customHeight="1" thickBot="1">
      <c r="B10" s="266" t="s">
        <v>131</v>
      </c>
      <c r="C10" s="267"/>
      <c r="D10" s="53">
        <f>D11+D12+D13+D14+D15</f>
        <v>308960.27</v>
      </c>
      <c r="E10" s="11"/>
      <c r="F10" s="69"/>
      <c r="G10" s="70"/>
      <c r="H10" s="70"/>
      <c r="I10" s="70"/>
    </row>
    <row r="11" spans="2:10" ht="19.5" customHeight="1">
      <c r="B11" s="264" t="s">
        <v>2</v>
      </c>
      <c r="C11" s="265"/>
      <c r="D11" s="39">
        <v>245386</v>
      </c>
      <c r="E11" s="11"/>
      <c r="F11" s="70"/>
      <c r="G11" s="70"/>
      <c r="H11" s="71"/>
      <c r="I11" s="70"/>
      <c r="J11" s="4"/>
    </row>
    <row r="12" spans="2:10" ht="19.5" customHeight="1">
      <c r="B12" s="164" t="s">
        <v>99</v>
      </c>
      <c r="C12" s="168"/>
      <c r="D12" s="39">
        <f>294953.57-D11</f>
        <v>49567.570000000007</v>
      </c>
      <c r="E12" s="11"/>
      <c r="F12" s="70"/>
      <c r="G12" s="70"/>
      <c r="H12" s="71"/>
      <c r="I12" s="71"/>
      <c r="J12" s="4"/>
    </row>
    <row r="13" spans="2:10" ht="19.5" customHeight="1">
      <c r="B13" s="164" t="s">
        <v>105</v>
      </c>
      <c r="C13" s="165"/>
      <c r="D13" s="39">
        <v>4745.3900000000003</v>
      </c>
      <c r="E13" s="12"/>
      <c r="F13" s="70"/>
      <c r="G13" s="70"/>
      <c r="H13" s="70"/>
      <c r="I13" s="70"/>
    </row>
    <row r="14" spans="2:10" ht="19.5" customHeight="1">
      <c r="B14" s="164" t="s">
        <v>72</v>
      </c>
      <c r="C14" s="165"/>
      <c r="D14" s="39">
        <v>6661.31</v>
      </c>
      <c r="E14" s="12"/>
      <c r="F14" s="70"/>
      <c r="G14" s="70"/>
      <c r="H14" s="70"/>
      <c r="I14" s="70"/>
    </row>
    <row r="15" spans="2:10" ht="19.5" customHeight="1" thickBot="1">
      <c r="B15" s="166" t="s">
        <v>40</v>
      </c>
      <c r="C15" s="217"/>
      <c r="D15" s="39">
        <v>2600</v>
      </c>
      <c r="E15" s="12"/>
      <c r="F15" s="70"/>
      <c r="G15" s="70"/>
      <c r="H15" s="70"/>
      <c r="I15" s="70"/>
    </row>
    <row r="16" spans="2:10" ht="19.5" customHeight="1" thickBot="1">
      <c r="B16" s="214" t="s">
        <v>4</v>
      </c>
      <c r="C16" s="215"/>
      <c r="D16" s="40">
        <v>65695.98</v>
      </c>
      <c r="E16" s="12"/>
      <c r="F16" s="70"/>
      <c r="G16" s="70"/>
      <c r="H16" s="70"/>
      <c r="I16" s="70"/>
    </row>
    <row r="17" spans="2:9" ht="19.5" customHeight="1">
      <c r="B17" s="171" t="s">
        <v>14</v>
      </c>
      <c r="C17" s="172"/>
      <c r="D17" s="38">
        <f>D18+D19+D20+D21+D23+D24+D25+D26+D27+D28+D29+D30+D22</f>
        <v>410354.92</v>
      </c>
      <c r="E17" s="12"/>
      <c r="F17" s="70"/>
      <c r="G17" s="70"/>
      <c r="H17" s="70"/>
      <c r="I17" s="70"/>
    </row>
    <row r="18" spans="2:9" ht="19.5" customHeight="1">
      <c r="B18" s="175" t="s">
        <v>112</v>
      </c>
      <c r="C18" s="176"/>
      <c r="D18" s="75">
        <f>26589.38-D13-D19-1799.52</f>
        <v>13803.050000000001</v>
      </c>
      <c r="E18" s="12"/>
      <c r="F18" s="70"/>
      <c r="G18" s="70"/>
      <c r="H18" s="70"/>
      <c r="I18" s="70"/>
    </row>
    <row r="19" spans="2:9" ht="19.5" customHeight="1">
      <c r="B19" s="223" t="s">
        <v>5</v>
      </c>
      <c r="C19" s="224"/>
      <c r="D19" s="76">
        <v>6241.42</v>
      </c>
      <c r="E19" s="12"/>
      <c r="F19" s="70"/>
      <c r="G19" s="70"/>
      <c r="H19" s="70"/>
      <c r="I19" s="70"/>
    </row>
    <row r="20" spans="2:9" ht="19.5" customHeight="1">
      <c r="B20" s="212" t="s">
        <v>132</v>
      </c>
      <c r="C20" s="213"/>
      <c r="D20" s="65">
        <v>213262.86</v>
      </c>
      <c r="E20" s="12"/>
      <c r="F20" s="70"/>
      <c r="G20" s="70"/>
      <c r="H20" s="70"/>
      <c r="I20" s="70"/>
    </row>
    <row r="21" spans="2:9" ht="19.5" customHeight="1">
      <c r="B21" s="192" t="s">
        <v>99</v>
      </c>
      <c r="C21" s="167"/>
      <c r="D21" s="66">
        <v>42921.71</v>
      </c>
      <c r="E21" s="11"/>
      <c r="F21" s="70"/>
      <c r="G21" s="70"/>
      <c r="H21" s="70"/>
      <c r="I21" s="70"/>
    </row>
    <row r="22" spans="2:9" ht="19.5" customHeight="1">
      <c r="B22" s="149" t="s">
        <v>96</v>
      </c>
      <c r="C22" s="148"/>
      <c r="D22" s="66">
        <v>4256.7</v>
      </c>
      <c r="E22" s="11"/>
      <c r="F22" s="70"/>
      <c r="G22" s="70"/>
      <c r="H22" s="70"/>
      <c r="I22" s="70"/>
    </row>
    <row r="23" spans="2:9" ht="19.5" customHeight="1">
      <c r="B23" s="164" t="s">
        <v>32</v>
      </c>
      <c r="C23" s="165"/>
      <c r="D23" s="66">
        <f>1699.52+100+2600.94</f>
        <v>4400.46</v>
      </c>
      <c r="E23" s="11"/>
      <c r="F23" s="70"/>
      <c r="G23" s="70"/>
      <c r="H23" s="70"/>
      <c r="I23" s="70"/>
    </row>
    <row r="24" spans="2:9" ht="19.5" customHeight="1">
      <c r="B24" s="177" t="s">
        <v>165</v>
      </c>
      <c r="C24" s="178"/>
      <c r="D24" s="66">
        <v>19381.099999999999</v>
      </c>
      <c r="E24" s="11"/>
      <c r="F24" s="70"/>
      <c r="G24" s="70"/>
      <c r="H24" s="70"/>
      <c r="I24" s="70"/>
    </row>
    <row r="25" spans="2:9" ht="19.5" customHeight="1">
      <c r="B25" s="166" t="s">
        <v>33</v>
      </c>
      <c r="C25" s="217"/>
      <c r="D25" s="66">
        <v>848.93</v>
      </c>
      <c r="E25" s="11"/>
      <c r="F25" s="70"/>
      <c r="G25" s="70"/>
      <c r="H25" s="70"/>
      <c r="I25" s="70"/>
    </row>
    <row r="26" spans="2:9" ht="19.5" customHeight="1">
      <c r="B26" s="164" t="s">
        <v>110</v>
      </c>
      <c r="C26" s="165"/>
      <c r="D26" s="66">
        <v>2067.83</v>
      </c>
      <c r="E26" s="13"/>
      <c r="F26" s="70"/>
      <c r="G26" s="70"/>
      <c r="H26" s="70"/>
      <c r="I26" s="70"/>
    </row>
    <row r="27" spans="2:9" ht="19.5" customHeight="1">
      <c r="B27" s="164" t="s">
        <v>93</v>
      </c>
      <c r="C27" s="291"/>
      <c r="D27" s="66">
        <f>43800+28200</f>
        <v>72000</v>
      </c>
      <c r="E27" s="74"/>
      <c r="F27" s="70"/>
      <c r="G27" s="70"/>
      <c r="H27" s="70"/>
      <c r="I27" s="70"/>
    </row>
    <row r="28" spans="2:9" ht="19.5" customHeight="1">
      <c r="B28" s="166" t="s">
        <v>152</v>
      </c>
      <c r="C28" s="217"/>
      <c r="D28" s="66">
        <v>20400</v>
      </c>
      <c r="E28" s="70"/>
      <c r="F28" s="70"/>
      <c r="G28" s="70"/>
      <c r="H28" s="70"/>
      <c r="I28" s="70"/>
    </row>
    <row r="29" spans="2:9" ht="19.5" customHeight="1">
      <c r="B29" s="164" t="s">
        <v>41</v>
      </c>
      <c r="C29" s="165"/>
      <c r="D29" s="66">
        <v>8370.86</v>
      </c>
      <c r="E29" s="70"/>
      <c r="F29" s="70"/>
      <c r="G29" s="70"/>
      <c r="H29" s="70"/>
      <c r="I29" s="70"/>
    </row>
    <row r="30" spans="2:9" ht="19.5" customHeight="1" thickBot="1">
      <c r="B30" s="188" t="s">
        <v>21</v>
      </c>
      <c r="C30" s="304"/>
      <c r="D30" s="81">
        <v>2400</v>
      </c>
      <c r="E30" s="70"/>
      <c r="F30" s="70"/>
      <c r="G30" s="70"/>
      <c r="H30" s="70"/>
      <c r="I30" s="70"/>
    </row>
    <row r="31" spans="2:9" ht="19.5" customHeight="1" thickBot="1">
      <c r="B31" s="268" t="s">
        <v>42</v>
      </c>
      <c r="C31" s="269"/>
      <c r="D31" s="43">
        <v>417.68</v>
      </c>
      <c r="E31" s="70"/>
      <c r="F31" s="70"/>
      <c r="G31" s="70"/>
      <c r="H31" s="70"/>
      <c r="I31" s="70"/>
    </row>
    <row r="32" spans="2:9" ht="19.5" customHeight="1" thickBot="1">
      <c r="B32" s="193" t="s">
        <v>142</v>
      </c>
      <c r="C32" s="194"/>
      <c r="D32" s="40">
        <v>2624.76</v>
      </c>
      <c r="E32" s="70"/>
      <c r="F32" s="70"/>
      <c r="G32" s="70"/>
      <c r="H32" s="70"/>
      <c r="I32" s="70"/>
    </row>
    <row r="33" spans="2:9" ht="19.5" customHeight="1">
      <c r="B33" s="171" t="s">
        <v>24</v>
      </c>
      <c r="C33" s="172"/>
      <c r="D33" s="38">
        <f>D34++D35+D36+D37+D38+D39+D40+D41+D42+D43</f>
        <v>213950.46</v>
      </c>
      <c r="E33" s="70"/>
      <c r="F33" s="70"/>
      <c r="G33" s="70"/>
      <c r="H33" s="70"/>
      <c r="I33" s="70"/>
    </row>
    <row r="34" spans="2:9" ht="19.5" customHeight="1">
      <c r="B34" s="175" t="s">
        <v>139</v>
      </c>
      <c r="C34" s="176"/>
      <c r="D34" s="66">
        <v>111700.39</v>
      </c>
      <c r="E34" s="70"/>
      <c r="F34" s="70"/>
      <c r="G34" s="70"/>
      <c r="H34" s="70"/>
      <c r="I34" s="70"/>
    </row>
    <row r="35" spans="2:9" ht="19.5" customHeight="1">
      <c r="B35" s="164" t="s">
        <v>99</v>
      </c>
      <c r="C35" s="168"/>
      <c r="D35" s="66">
        <v>22535.52</v>
      </c>
      <c r="E35" s="70"/>
      <c r="F35" s="70"/>
      <c r="G35" s="70"/>
      <c r="H35" s="70"/>
      <c r="I35" s="70"/>
    </row>
    <row r="36" spans="2:9" ht="19.5" customHeight="1">
      <c r="B36" s="164" t="s">
        <v>101</v>
      </c>
      <c r="C36" s="168"/>
      <c r="D36" s="66">
        <v>37722.400000000001</v>
      </c>
      <c r="E36" s="70"/>
      <c r="F36" s="70"/>
      <c r="G36" s="70"/>
      <c r="H36" s="70"/>
      <c r="I36" s="70"/>
    </row>
    <row r="37" spans="2:9" ht="19.5" customHeight="1">
      <c r="B37" s="164" t="s">
        <v>102</v>
      </c>
      <c r="C37" s="168"/>
      <c r="D37" s="66">
        <v>3717.74</v>
      </c>
      <c r="E37" s="70"/>
      <c r="F37" s="70"/>
      <c r="G37" s="70"/>
      <c r="H37" s="70"/>
      <c r="I37" s="70"/>
    </row>
    <row r="38" spans="2:9" ht="19.5" customHeight="1">
      <c r="B38" s="164" t="s">
        <v>1</v>
      </c>
      <c r="C38" s="168"/>
      <c r="D38" s="66">
        <v>8990.89</v>
      </c>
      <c r="E38" s="70"/>
      <c r="F38" s="70"/>
      <c r="G38" s="70"/>
      <c r="H38" s="70"/>
      <c r="I38" s="70"/>
    </row>
    <row r="39" spans="2:9" ht="19.5" customHeight="1">
      <c r="B39" s="192" t="s">
        <v>103</v>
      </c>
      <c r="C39" s="167"/>
      <c r="D39" s="66">
        <v>2911.09</v>
      </c>
      <c r="E39" s="70"/>
      <c r="F39" s="70"/>
      <c r="G39" s="70"/>
      <c r="H39" s="70"/>
      <c r="I39" s="70"/>
    </row>
    <row r="40" spans="2:9" ht="19.5" customHeight="1">
      <c r="B40" s="192" t="s">
        <v>0</v>
      </c>
      <c r="C40" s="167"/>
      <c r="D40" s="66">
        <f>1019.04+885.3</f>
        <v>1904.34</v>
      </c>
      <c r="E40" s="70"/>
      <c r="F40" s="70"/>
      <c r="G40" s="70"/>
      <c r="H40" s="70"/>
      <c r="I40" s="70"/>
    </row>
    <row r="41" spans="2:9" ht="19.5" customHeight="1">
      <c r="B41" s="192" t="s">
        <v>109</v>
      </c>
      <c r="C41" s="167"/>
      <c r="D41" s="66">
        <v>1094.9000000000001</v>
      </c>
      <c r="E41" s="70"/>
      <c r="F41" s="70"/>
      <c r="G41" s="70"/>
      <c r="H41" s="70"/>
      <c r="I41" s="70"/>
    </row>
    <row r="42" spans="2:9" ht="19.5" customHeight="1">
      <c r="B42" s="192" t="s">
        <v>13</v>
      </c>
      <c r="C42" s="167"/>
      <c r="D42" s="66">
        <v>2009.4</v>
      </c>
    </row>
    <row r="43" spans="2:9" ht="19.5" customHeight="1" thickBot="1">
      <c r="B43" s="192" t="s">
        <v>104</v>
      </c>
      <c r="C43" s="167"/>
      <c r="D43" s="81">
        <v>21363.79</v>
      </c>
    </row>
    <row r="44" spans="2:9" ht="19.5" customHeight="1" thickBot="1">
      <c r="B44" s="208" t="s">
        <v>27</v>
      </c>
      <c r="C44" s="209"/>
      <c r="D44" s="124">
        <f>D10+D16+D17+D31+D32+D33</f>
        <v>1002004.07</v>
      </c>
      <c r="E44" s="7"/>
    </row>
    <row r="46" spans="2:9">
      <c r="D46" s="4"/>
    </row>
  </sheetData>
  <mergeCells count="42">
    <mergeCell ref="B31:C31"/>
    <mergeCell ref="B2:D2"/>
    <mergeCell ref="B44:C44"/>
    <mergeCell ref="B29:C29"/>
    <mergeCell ref="B42:C42"/>
    <mergeCell ref="B43:C43"/>
    <mergeCell ref="B36:C36"/>
    <mergeCell ref="B37:C37"/>
    <mergeCell ref="B38:C38"/>
    <mergeCell ref="B39:C39"/>
    <mergeCell ref="B40:C40"/>
    <mergeCell ref="B41:C41"/>
    <mergeCell ref="B33:C33"/>
    <mergeCell ref="B34:C34"/>
    <mergeCell ref="B35:C35"/>
    <mergeCell ref="B30:C30"/>
    <mergeCell ref="B32:C32"/>
    <mergeCell ref="B3:C3"/>
    <mergeCell ref="B5:C5"/>
    <mergeCell ref="B6:C6"/>
    <mergeCell ref="B27:C27"/>
    <mergeCell ref="B7:C7"/>
    <mergeCell ref="B8:C8"/>
    <mergeCell ref="B9:C9"/>
    <mergeCell ref="B10:C10"/>
    <mergeCell ref="B11:C11"/>
    <mergeCell ref="B12:C12"/>
    <mergeCell ref="B13:C13"/>
    <mergeCell ref="B4:C4"/>
    <mergeCell ref="B25:C25"/>
    <mergeCell ref="B28:C28"/>
    <mergeCell ref="B14:C14"/>
    <mergeCell ref="B15:C15"/>
    <mergeCell ref="B18:C18"/>
    <mergeCell ref="B21:C21"/>
    <mergeCell ref="B23:C23"/>
    <mergeCell ref="B24:C24"/>
    <mergeCell ref="B19:C19"/>
    <mergeCell ref="B20:C20"/>
    <mergeCell ref="B16:C16"/>
    <mergeCell ref="B17:C17"/>
    <mergeCell ref="B26:C26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J48"/>
  <sheetViews>
    <sheetView topLeftCell="A29" workbookViewId="0">
      <selection activeCell="B36" sqref="B36:C36"/>
    </sheetView>
  </sheetViews>
  <sheetFormatPr defaultRowHeight="15"/>
  <cols>
    <col min="1" max="1" width="5.28515625" customWidth="1"/>
    <col min="2" max="2" width="20.7109375" customWidth="1"/>
    <col min="3" max="3" width="60.140625" customWidth="1"/>
    <col min="4" max="4" width="15" customWidth="1"/>
    <col min="5" max="5" width="9.140625" hidden="1" customWidth="1"/>
    <col min="6" max="6" width="0.140625" customWidth="1"/>
    <col min="8" max="8" width="15.140625" customWidth="1"/>
    <col min="9" max="9" width="13.28515625" customWidth="1"/>
  </cols>
  <sheetData>
    <row r="1" spans="2:9" ht="15.75" hidden="1" thickBot="1"/>
    <row r="2" spans="2:9" ht="36" customHeight="1" thickBot="1">
      <c r="B2" s="199" t="s">
        <v>166</v>
      </c>
      <c r="C2" s="200"/>
      <c r="D2" s="200"/>
      <c r="E2" s="305"/>
      <c r="F2" s="306"/>
    </row>
    <row r="3" spans="2:9" ht="19.5" customHeight="1" thickBot="1">
      <c r="B3" s="218" t="s">
        <v>43</v>
      </c>
      <c r="C3" s="218"/>
      <c r="D3" s="55" t="s">
        <v>23</v>
      </c>
      <c r="E3" s="2"/>
      <c r="F3" s="2"/>
    </row>
    <row r="4" spans="2:9" ht="19.5" customHeight="1">
      <c r="B4" s="294" t="s">
        <v>77</v>
      </c>
      <c r="C4" s="295"/>
      <c r="D4" s="144">
        <f>52422.89+11728.08+154854.77</f>
        <v>219005.74</v>
      </c>
      <c r="E4" s="2"/>
      <c r="F4" s="2"/>
    </row>
    <row r="5" spans="2:9" ht="19.5" customHeight="1">
      <c r="B5" s="220" t="s">
        <v>49</v>
      </c>
      <c r="C5" s="220"/>
      <c r="D5" s="47">
        <v>1762615.18</v>
      </c>
      <c r="E5" s="2"/>
      <c r="F5" s="2"/>
    </row>
    <row r="6" spans="2:9" ht="19.5" customHeight="1">
      <c r="B6" s="220" t="s">
        <v>29</v>
      </c>
      <c r="C6" s="220"/>
      <c r="D6" s="47">
        <f>347964.95+115788.72+1274158.14</f>
        <v>1737911.81</v>
      </c>
      <c r="E6" s="2"/>
      <c r="F6" s="2"/>
    </row>
    <row r="7" spans="2:9" ht="19.5" customHeight="1" thickBot="1">
      <c r="B7" s="222" t="s">
        <v>59</v>
      </c>
      <c r="C7" s="222"/>
      <c r="D7" s="54">
        <f>D4+D5-D6</f>
        <v>243709.10999999987</v>
      </c>
      <c r="E7" s="2"/>
      <c r="F7" s="2"/>
    </row>
    <row r="8" spans="2:9" ht="19.5" customHeight="1" thickBot="1">
      <c r="B8" s="244" t="s">
        <v>97</v>
      </c>
      <c r="C8" s="245"/>
      <c r="D8" s="157">
        <f>D6</f>
        <v>1737911.81</v>
      </c>
      <c r="E8" s="17"/>
      <c r="F8" s="2"/>
    </row>
    <row r="9" spans="2:9" ht="19.5" customHeight="1" thickBot="1">
      <c r="B9" s="210" t="s">
        <v>44</v>
      </c>
      <c r="C9" s="211"/>
      <c r="D9" s="56" t="s">
        <v>23</v>
      </c>
      <c r="E9" s="10"/>
    </row>
    <row r="10" spans="2:9" ht="19.5" customHeight="1">
      <c r="B10" s="195" t="s">
        <v>18</v>
      </c>
      <c r="C10" s="196"/>
      <c r="D10" s="53">
        <f>D11+D12+D13+D14</f>
        <v>291489.44</v>
      </c>
      <c r="E10" s="11"/>
      <c r="F10" s="69"/>
      <c r="G10" s="70"/>
      <c r="H10" s="70"/>
    </row>
    <row r="11" spans="2:9" ht="19.5" customHeight="1">
      <c r="B11" s="192" t="s">
        <v>2</v>
      </c>
      <c r="C11" s="167"/>
      <c r="D11" s="39">
        <v>235646</v>
      </c>
      <c r="E11" s="11"/>
      <c r="F11" s="70"/>
      <c r="G11" s="70"/>
      <c r="H11" s="71"/>
    </row>
    <row r="12" spans="2:9" ht="19.5" customHeight="1">
      <c r="B12" s="164" t="s">
        <v>99</v>
      </c>
      <c r="C12" s="168"/>
      <c r="D12" s="39">
        <f>283246.49-D11</f>
        <v>47600.489999999991</v>
      </c>
      <c r="E12" s="11"/>
      <c r="F12" s="70"/>
      <c r="G12" s="70"/>
      <c r="H12" s="71"/>
      <c r="I12" s="4"/>
    </row>
    <row r="13" spans="2:9" ht="19.5" customHeight="1">
      <c r="B13" s="164" t="s">
        <v>105</v>
      </c>
      <c r="C13" s="165"/>
      <c r="D13" s="39">
        <v>6942.95</v>
      </c>
      <c r="E13" s="12"/>
      <c r="F13" s="70"/>
      <c r="G13" s="70"/>
      <c r="H13" s="70"/>
    </row>
    <row r="14" spans="2:9" ht="19.5" customHeight="1" thickBot="1">
      <c r="B14" s="197" t="s">
        <v>40</v>
      </c>
      <c r="C14" s="198"/>
      <c r="D14" s="39">
        <v>1300</v>
      </c>
      <c r="E14" s="12"/>
      <c r="F14" s="70"/>
      <c r="G14" s="70"/>
      <c r="H14" s="70"/>
    </row>
    <row r="15" spans="2:9" ht="19.5" customHeight="1" thickBot="1">
      <c r="B15" s="169" t="s">
        <v>4</v>
      </c>
      <c r="C15" s="170"/>
      <c r="D15" s="40">
        <v>83814.12</v>
      </c>
      <c r="E15" s="12"/>
      <c r="F15" s="70"/>
      <c r="G15" s="70"/>
      <c r="H15" s="70"/>
    </row>
    <row r="16" spans="2:9" ht="19.5" customHeight="1">
      <c r="B16" s="171" t="s">
        <v>14</v>
      </c>
      <c r="C16" s="172"/>
      <c r="D16" s="38">
        <f>D17+D18+D19+D20+D22+D23+D24+D25+D26+D27+D28+D21</f>
        <v>499834.46000000008</v>
      </c>
      <c r="E16" s="12"/>
      <c r="F16" s="70"/>
      <c r="G16" s="70"/>
      <c r="H16" s="70"/>
    </row>
    <row r="17" spans="2:10" ht="19.5" customHeight="1">
      <c r="B17" s="175" t="s">
        <v>112</v>
      </c>
      <c r="C17" s="176"/>
      <c r="D17" s="75">
        <f>28689.23-D18-D13-5989.54</f>
        <v>13396.279999999999</v>
      </c>
      <c r="E17" s="12"/>
      <c r="F17" s="70"/>
      <c r="G17" s="70"/>
      <c r="H17" s="70"/>
    </row>
    <row r="18" spans="2:10" ht="19.5" customHeight="1">
      <c r="B18" s="223" t="s">
        <v>5</v>
      </c>
      <c r="C18" s="224"/>
      <c r="D18" s="76">
        <v>2360.46</v>
      </c>
      <c r="E18" s="12"/>
      <c r="F18" s="70"/>
      <c r="G18" s="70"/>
      <c r="H18" s="70"/>
    </row>
    <row r="19" spans="2:10" ht="19.5" customHeight="1">
      <c r="B19" s="212" t="s">
        <v>117</v>
      </c>
      <c r="C19" s="213"/>
      <c r="D19" s="65">
        <v>303045.26</v>
      </c>
      <c r="E19" s="12"/>
      <c r="F19" s="70"/>
      <c r="G19" s="70"/>
      <c r="H19" s="70"/>
    </row>
    <row r="20" spans="2:10" ht="19.5" customHeight="1">
      <c r="B20" s="192" t="s">
        <v>99</v>
      </c>
      <c r="C20" s="167"/>
      <c r="D20" s="66">
        <v>60991.5</v>
      </c>
      <c r="E20" s="11"/>
      <c r="F20" s="70"/>
      <c r="G20" s="70"/>
      <c r="H20" s="70"/>
    </row>
    <row r="21" spans="2:10" ht="19.5" customHeight="1">
      <c r="B21" s="149" t="s">
        <v>96</v>
      </c>
      <c r="C21" s="148"/>
      <c r="D21" s="66">
        <v>8363.39</v>
      </c>
      <c r="E21" s="11"/>
      <c r="F21" s="70"/>
      <c r="G21" s="70"/>
      <c r="H21" s="70"/>
    </row>
    <row r="22" spans="2:10" ht="19.5" customHeight="1">
      <c r="B22" s="164" t="s">
        <v>32</v>
      </c>
      <c r="C22" s="165"/>
      <c r="D22" s="66">
        <f>5889.54+100+5110.22</f>
        <v>11099.76</v>
      </c>
      <c r="E22" s="11"/>
      <c r="F22" s="70"/>
      <c r="G22" s="70"/>
      <c r="H22" s="70"/>
    </row>
    <row r="23" spans="2:10" ht="19.5" customHeight="1">
      <c r="B23" s="177" t="s">
        <v>19</v>
      </c>
      <c r="C23" s="178"/>
      <c r="D23" s="66">
        <v>38079.160000000003</v>
      </c>
      <c r="E23" s="11"/>
      <c r="F23" s="70"/>
      <c r="G23" s="70"/>
      <c r="H23" s="70"/>
    </row>
    <row r="24" spans="2:10" ht="19.5" customHeight="1">
      <c r="B24" s="177" t="s">
        <v>50</v>
      </c>
      <c r="C24" s="229"/>
      <c r="D24" s="66">
        <v>15274.77</v>
      </c>
      <c r="E24" s="11"/>
      <c r="F24" s="70"/>
      <c r="G24" s="70"/>
      <c r="H24" s="70"/>
    </row>
    <row r="25" spans="2:10" ht="19.5" customHeight="1">
      <c r="B25" s="166" t="s">
        <v>152</v>
      </c>
      <c r="C25" s="217"/>
      <c r="D25" s="66">
        <v>10200</v>
      </c>
      <c r="E25" s="11"/>
      <c r="F25" s="70"/>
      <c r="G25" s="70"/>
      <c r="H25" s="70"/>
    </row>
    <row r="26" spans="2:10" ht="19.5" customHeight="1">
      <c r="B26" s="166" t="s">
        <v>33</v>
      </c>
      <c r="C26" s="167"/>
      <c r="D26" s="66">
        <v>1667.95</v>
      </c>
      <c r="E26" s="13"/>
      <c r="F26" s="70"/>
      <c r="G26" s="70"/>
      <c r="H26" s="70"/>
    </row>
    <row r="27" spans="2:10" ht="19.5" customHeight="1">
      <c r="B27" s="164" t="s">
        <v>123</v>
      </c>
      <c r="C27" s="165"/>
      <c r="D27" s="66">
        <f>60+4062.79</f>
        <v>4122.79</v>
      </c>
      <c r="E27" s="74"/>
      <c r="F27" s="70"/>
      <c r="G27" s="70"/>
      <c r="H27" s="70"/>
      <c r="I27" s="68"/>
      <c r="J27" s="68"/>
    </row>
    <row r="28" spans="2:10" ht="19.5" customHeight="1" thickBot="1">
      <c r="B28" s="188" t="s">
        <v>41</v>
      </c>
      <c r="C28" s="189"/>
      <c r="D28" s="81">
        <v>31233.14</v>
      </c>
      <c r="E28" s="70"/>
      <c r="F28" s="70"/>
      <c r="G28" s="70"/>
      <c r="H28" s="70"/>
    </row>
    <row r="29" spans="2:10" ht="19.5" customHeight="1" thickBot="1">
      <c r="B29" s="268" t="s">
        <v>42</v>
      </c>
      <c r="C29" s="269"/>
      <c r="D29" s="49">
        <v>820.64</v>
      </c>
      <c r="E29" s="70"/>
      <c r="F29" s="70"/>
      <c r="G29" s="70"/>
      <c r="H29" s="70"/>
    </row>
    <row r="30" spans="2:10" ht="19.5" customHeight="1">
      <c r="B30" s="171" t="s">
        <v>34</v>
      </c>
      <c r="C30" s="172"/>
      <c r="D30" s="38">
        <f>D31+D33+D32</f>
        <v>276046</v>
      </c>
      <c r="E30" s="70"/>
      <c r="F30" s="70"/>
      <c r="G30" s="70"/>
      <c r="H30" s="70"/>
    </row>
    <row r="31" spans="2:10" ht="19.5" customHeight="1">
      <c r="B31" s="175" t="s">
        <v>16</v>
      </c>
      <c r="C31" s="176"/>
      <c r="D31" s="66">
        <v>450</v>
      </c>
      <c r="E31" s="70"/>
      <c r="F31" s="70"/>
      <c r="G31" s="70"/>
      <c r="H31" s="70"/>
    </row>
    <row r="32" spans="2:10" ht="19.5" customHeight="1">
      <c r="B32" s="164" t="s">
        <v>56</v>
      </c>
      <c r="C32" s="165"/>
      <c r="D32" s="66">
        <v>5500</v>
      </c>
      <c r="E32" s="70"/>
      <c r="F32" s="70"/>
      <c r="G32" s="70"/>
      <c r="H32" s="70"/>
    </row>
    <row r="33" spans="2:8" ht="19.5" customHeight="1" thickBot="1">
      <c r="B33" s="188" t="s">
        <v>47</v>
      </c>
      <c r="C33" s="189"/>
      <c r="D33" s="81">
        <v>270096</v>
      </c>
      <c r="E33" s="70"/>
      <c r="F33" s="70"/>
      <c r="G33" s="70"/>
      <c r="H33" s="70"/>
    </row>
    <row r="34" spans="2:8" ht="19.5" customHeight="1" thickBot="1">
      <c r="B34" s="268" t="s">
        <v>142</v>
      </c>
      <c r="C34" s="287"/>
      <c r="D34" s="43">
        <v>5157.01</v>
      </c>
      <c r="E34" s="70"/>
      <c r="F34" s="70"/>
      <c r="G34" s="70"/>
      <c r="H34" s="70"/>
    </row>
    <row r="35" spans="2:8" ht="19.5" customHeight="1">
      <c r="B35" s="171" t="s">
        <v>24</v>
      </c>
      <c r="C35" s="172"/>
      <c r="D35" s="38">
        <f>D36+D37+D38+D39+D40+D41+D42+D43+D44+D45</f>
        <v>418741.54</v>
      </c>
      <c r="E35" s="70"/>
      <c r="F35" s="70"/>
      <c r="G35" s="70"/>
      <c r="H35" s="70"/>
    </row>
    <row r="36" spans="2:8" ht="19.5" customHeight="1">
      <c r="B36" s="175" t="s">
        <v>139</v>
      </c>
      <c r="C36" s="176"/>
      <c r="D36" s="66">
        <v>219464.21</v>
      </c>
      <c r="E36" s="70"/>
      <c r="F36" s="70"/>
      <c r="G36" s="70"/>
      <c r="H36" s="70"/>
    </row>
    <row r="37" spans="2:8" ht="19.5" customHeight="1">
      <c r="B37" s="164" t="s">
        <v>99</v>
      </c>
      <c r="C37" s="168"/>
      <c r="D37" s="66">
        <v>44276.83</v>
      </c>
      <c r="E37" s="70"/>
      <c r="F37" s="70"/>
      <c r="G37" s="70"/>
      <c r="H37" s="70"/>
    </row>
    <row r="38" spans="2:8" ht="19.5" customHeight="1">
      <c r="B38" s="164" t="s">
        <v>101</v>
      </c>
      <c r="C38" s="168"/>
      <c r="D38" s="66">
        <v>74115.38</v>
      </c>
      <c r="E38" s="70"/>
      <c r="F38" s="70"/>
      <c r="G38" s="70"/>
      <c r="H38" s="70"/>
    </row>
    <row r="39" spans="2:8" ht="19.5" customHeight="1">
      <c r="B39" s="164" t="s">
        <v>102</v>
      </c>
      <c r="C39" s="168"/>
      <c r="D39" s="66">
        <v>7304.46</v>
      </c>
      <c r="E39" s="70"/>
      <c r="F39" s="70"/>
      <c r="G39" s="70"/>
      <c r="H39" s="70"/>
    </row>
    <row r="40" spans="2:8" ht="19.5" customHeight="1">
      <c r="B40" s="164" t="s">
        <v>1</v>
      </c>
      <c r="C40" s="168"/>
      <c r="D40" s="66">
        <v>17664.91</v>
      </c>
      <c r="E40" s="70"/>
      <c r="F40" s="70"/>
      <c r="G40" s="70"/>
      <c r="H40" s="70"/>
    </row>
    <row r="41" spans="2:8" ht="19.5" customHeight="1">
      <c r="B41" s="192" t="s">
        <v>103</v>
      </c>
      <c r="C41" s="167"/>
      <c r="D41" s="66">
        <v>5719.59</v>
      </c>
      <c r="E41" s="70"/>
      <c r="F41" s="70"/>
      <c r="G41" s="70"/>
      <c r="H41" s="70"/>
    </row>
    <row r="42" spans="2:8" ht="19.5" customHeight="1">
      <c r="B42" s="192" t="s">
        <v>0</v>
      </c>
      <c r="C42" s="167"/>
      <c r="D42" s="66">
        <f>382.88+1739.41</f>
        <v>2122.29</v>
      </c>
      <c r="E42" s="70"/>
      <c r="F42" s="70"/>
      <c r="G42" s="70"/>
      <c r="H42" s="70"/>
    </row>
    <row r="43" spans="2:8" ht="19.5" customHeight="1">
      <c r="B43" s="192" t="s">
        <v>109</v>
      </c>
      <c r="C43" s="167"/>
      <c r="D43" s="66">
        <v>2151.21</v>
      </c>
      <c r="E43" s="70"/>
      <c r="F43" s="70"/>
      <c r="G43" s="70"/>
      <c r="H43" s="70"/>
    </row>
    <row r="44" spans="2:8" ht="19.5" customHeight="1">
      <c r="B44" s="192" t="s">
        <v>13</v>
      </c>
      <c r="C44" s="167"/>
      <c r="D44" s="66">
        <v>3947.99</v>
      </c>
      <c r="E44" s="70"/>
      <c r="F44" s="70"/>
      <c r="G44" s="70"/>
      <c r="H44" s="70"/>
    </row>
    <row r="45" spans="2:8" ht="19.5" customHeight="1" thickBot="1">
      <c r="B45" s="192" t="s">
        <v>104</v>
      </c>
      <c r="C45" s="167"/>
      <c r="D45" s="81">
        <v>41974.67</v>
      </c>
    </row>
    <row r="46" spans="2:8" ht="19.5" customHeight="1" thickBot="1">
      <c r="B46" s="208" t="s">
        <v>98</v>
      </c>
      <c r="C46" s="209"/>
      <c r="D46" s="143">
        <f>D10+D15+D16+D29+D30+D34+D35</f>
        <v>1575903.2100000002</v>
      </c>
      <c r="E46" s="7"/>
    </row>
    <row r="48" spans="2:8">
      <c r="D48" s="4"/>
    </row>
  </sheetData>
  <mergeCells count="44">
    <mergeCell ref="B46:C46"/>
    <mergeCell ref="B45:C45"/>
    <mergeCell ref="B40:C40"/>
    <mergeCell ref="B28:C28"/>
    <mergeCell ref="B30:C30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B29:C29"/>
    <mergeCell ref="B31:C31"/>
    <mergeCell ref="B8:C8"/>
    <mergeCell ref="B9:C9"/>
    <mergeCell ref="B10:C10"/>
    <mergeCell ref="B11:C11"/>
    <mergeCell ref="B12:C12"/>
    <mergeCell ref="B2:F2"/>
    <mergeCell ref="B3:C3"/>
    <mergeCell ref="B5:C5"/>
    <mergeCell ref="B6:C6"/>
    <mergeCell ref="B7:C7"/>
    <mergeCell ref="B4:C4"/>
    <mergeCell ref="B33:C33"/>
    <mergeCell ref="B27:C27"/>
    <mergeCell ref="B25:C25"/>
    <mergeCell ref="B14:C14"/>
    <mergeCell ref="B13:C13"/>
    <mergeCell ref="B20:C20"/>
    <mergeCell ref="B22:C22"/>
    <mergeCell ref="B23:C23"/>
    <mergeCell ref="B24:C24"/>
    <mergeCell ref="B26:C26"/>
    <mergeCell ref="B15:C15"/>
    <mergeCell ref="B16:C16"/>
    <mergeCell ref="B17:C17"/>
    <mergeCell ref="B18:C18"/>
    <mergeCell ref="B19:C19"/>
    <mergeCell ref="B32:C32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9"/>
  <sheetViews>
    <sheetView topLeftCell="A10" workbookViewId="0">
      <selection activeCell="B14" sqref="B14:C14"/>
    </sheetView>
  </sheetViews>
  <sheetFormatPr defaultRowHeight="15"/>
  <cols>
    <col min="1" max="1" width="4.7109375" customWidth="1"/>
    <col min="3" max="3" width="73.42578125" customWidth="1"/>
    <col min="4" max="4" width="16" customWidth="1"/>
    <col min="5" max="5" width="8.42578125" customWidth="1"/>
    <col min="7" max="7" width="14.42578125" customWidth="1"/>
  </cols>
  <sheetData>
    <row r="1" spans="2:8" ht="36.75" customHeight="1" thickBot="1">
      <c r="B1" s="199" t="s">
        <v>145</v>
      </c>
      <c r="C1" s="200"/>
      <c r="D1" s="201"/>
      <c r="E1" s="120"/>
    </row>
    <row r="2" spans="2:8" ht="19.5" customHeight="1" thickBot="1">
      <c r="B2" s="218" t="s">
        <v>43</v>
      </c>
      <c r="C2" s="218"/>
      <c r="D2" s="55" t="s">
        <v>23</v>
      </c>
      <c r="E2" s="2"/>
    </row>
    <row r="3" spans="2:8" ht="19.5" customHeight="1">
      <c r="B3" s="219" t="s">
        <v>58</v>
      </c>
      <c r="C3" s="219"/>
      <c r="D3" s="46">
        <v>99697.85</v>
      </c>
    </row>
    <row r="4" spans="2:8" ht="19.5" customHeight="1">
      <c r="B4" s="220" t="s">
        <v>48</v>
      </c>
      <c r="C4" s="220"/>
      <c r="D4" s="47">
        <v>1029974.9</v>
      </c>
    </row>
    <row r="5" spans="2:8" ht="19.5" customHeight="1">
      <c r="B5" s="221" t="s">
        <v>29</v>
      </c>
      <c r="C5" s="221"/>
      <c r="D5" s="47">
        <v>996910.56</v>
      </c>
    </row>
    <row r="6" spans="2:8" ht="19.5" customHeight="1" thickBot="1">
      <c r="B6" s="222" t="s">
        <v>59</v>
      </c>
      <c r="C6" s="222"/>
      <c r="D6" s="54">
        <f>D3+D4-D5</f>
        <v>132762.18999999994</v>
      </c>
    </row>
    <row r="7" spans="2:8" ht="19.5" customHeight="1" thickBot="1">
      <c r="B7" s="208" t="s">
        <v>97</v>
      </c>
      <c r="C7" s="209"/>
      <c r="D7" s="50">
        <f>D5</f>
        <v>996910.56</v>
      </c>
    </row>
    <row r="8" spans="2:8" ht="19.5" customHeight="1" thickBot="1">
      <c r="B8" s="210" t="s">
        <v>44</v>
      </c>
      <c r="C8" s="211"/>
      <c r="D8" s="52" t="s">
        <v>23</v>
      </c>
      <c r="E8" s="2"/>
    </row>
    <row r="9" spans="2:8" ht="19.5" customHeight="1" thickBot="1">
      <c r="B9" s="195" t="s">
        <v>8</v>
      </c>
      <c r="C9" s="196"/>
      <c r="D9" s="48">
        <f>D10+D11+D12+D14</f>
        <v>184338.12</v>
      </c>
      <c r="E9" s="85"/>
      <c r="F9" s="70"/>
      <c r="G9" s="70"/>
      <c r="H9" s="70"/>
    </row>
    <row r="10" spans="2:8" ht="19.5" customHeight="1">
      <c r="B10" s="164" t="s">
        <v>2</v>
      </c>
      <c r="C10" s="168"/>
      <c r="D10" s="93">
        <v>149460</v>
      </c>
      <c r="E10" s="70"/>
      <c r="F10" s="70"/>
      <c r="G10" s="70"/>
      <c r="H10" s="70"/>
    </row>
    <row r="11" spans="2:8" ht="19.5" customHeight="1">
      <c r="B11" s="164" t="s">
        <v>99</v>
      </c>
      <c r="C11" s="168"/>
      <c r="D11" s="66">
        <f>179650.91-D10</f>
        <v>30190.910000000003</v>
      </c>
      <c r="E11" s="70"/>
      <c r="F11" s="70"/>
      <c r="G11" s="70"/>
      <c r="H11" s="70"/>
    </row>
    <row r="12" spans="2:8" ht="19.5" customHeight="1">
      <c r="B12" s="164" t="s">
        <v>105</v>
      </c>
      <c r="C12" s="165"/>
      <c r="D12" s="66">
        <v>3387.21</v>
      </c>
      <c r="E12" s="70"/>
      <c r="F12" s="70"/>
      <c r="G12" s="70"/>
      <c r="H12" s="70"/>
    </row>
    <row r="13" spans="2:8" ht="19.5" customHeight="1">
      <c r="B13" s="164" t="s">
        <v>76</v>
      </c>
      <c r="C13" s="165"/>
      <c r="D13" s="66">
        <v>6000</v>
      </c>
      <c r="E13" s="70"/>
      <c r="F13" s="70"/>
      <c r="G13" s="70"/>
      <c r="H13" s="70"/>
    </row>
    <row r="14" spans="2:8" ht="19.5" customHeight="1" thickBot="1">
      <c r="B14" s="164" t="s">
        <v>40</v>
      </c>
      <c r="C14" s="165"/>
      <c r="D14" s="81">
        <v>1300</v>
      </c>
      <c r="E14" s="70"/>
      <c r="F14" s="70"/>
      <c r="G14" s="71"/>
      <c r="H14" s="70"/>
    </row>
    <row r="15" spans="2:8" ht="19.5" customHeight="1" thickBot="1">
      <c r="B15" s="214" t="s">
        <v>4</v>
      </c>
      <c r="C15" s="215"/>
      <c r="D15" s="40">
        <v>33894.660000000003</v>
      </c>
      <c r="E15" s="70"/>
      <c r="F15" s="70"/>
      <c r="G15" s="71"/>
      <c r="H15" s="70"/>
    </row>
    <row r="16" spans="2:8" ht="19.5" customHeight="1">
      <c r="B16" s="171" t="s">
        <v>14</v>
      </c>
      <c r="C16" s="172"/>
      <c r="D16" s="38">
        <f>D17+D18+D19+D20+D22+D23+D24+D25+D26+D27+D28+D26+D21</f>
        <v>278049.78000000003</v>
      </c>
      <c r="E16" s="70"/>
      <c r="F16" s="70"/>
      <c r="G16" s="70"/>
      <c r="H16" s="70"/>
    </row>
    <row r="17" spans="2:8" ht="19.5" customHeight="1">
      <c r="B17" s="175" t="s">
        <v>122</v>
      </c>
      <c r="C17" s="176"/>
      <c r="D17" s="75">
        <f>28237.09-D12-D18-1015.85</f>
        <v>18879.93</v>
      </c>
      <c r="E17" s="70"/>
      <c r="F17" s="70"/>
      <c r="G17" s="70"/>
      <c r="H17" s="70"/>
    </row>
    <row r="18" spans="2:8" ht="19.5" customHeight="1">
      <c r="B18" s="223" t="s">
        <v>5</v>
      </c>
      <c r="C18" s="224"/>
      <c r="D18" s="76">
        <v>4954.1000000000004</v>
      </c>
      <c r="E18" s="70"/>
      <c r="F18" s="70"/>
      <c r="G18" s="70"/>
      <c r="H18" s="70"/>
    </row>
    <row r="19" spans="2:8" ht="19.5" customHeight="1">
      <c r="B19" s="212" t="s">
        <v>117</v>
      </c>
      <c r="C19" s="213"/>
      <c r="D19" s="65">
        <v>156624.79999999999</v>
      </c>
      <c r="E19" s="70"/>
      <c r="F19" s="70"/>
      <c r="G19" s="70"/>
      <c r="H19" s="70"/>
    </row>
    <row r="20" spans="2:8" ht="19.5" customHeight="1">
      <c r="B20" s="192" t="s">
        <v>99</v>
      </c>
      <c r="C20" s="167"/>
      <c r="D20" s="66">
        <v>31522.62</v>
      </c>
      <c r="E20" s="70"/>
      <c r="F20" s="70"/>
      <c r="G20" s="70"/>
      <c r="H20" s="70"/>
    </row>
    <row r="21" spans="2:8" ht="19.5" customHeight="1">
      <c r="B21" s="149" t="s">
        <v>96</v>
      </c>
      <c r="C21" s="148"/>
      <c r="D21" s="66">
        <v>4894.2700000000004</v>
      </c>
      <c r="E21" s="70"/>
      <c r="F21" s="70"/>
      <c r="G21" s="70"/>
      <c r="H21" s="70"/>
    </row>
    <row r="22" spans="2:8" ht="19.5" customHeight="1">
      <c r="B22" s="164" t="s">
        <v>32</v>
      </c>
      <c r="C22" s="165"/>
      <c r="D22" s="66">
        <f>915.85+100+2990.51</f>
        <v>4006.36</v>
      </c>
      <c r="E22" s="70"/>
      <c r="F22" s="70"/>
      <c r="G22" s="70"/>
      <c r="H22" s="70"/>
    </row>
    <row r="23" spans="2:8" ht="19.5" customHeight="1">
      <c r="B23" s="164" t="s">
        <v>41</v>
      </c>
      <c r="C23" s="165"/>
      <c r="D23" s="66">
        <v>3788.07</v>
      </c>
      <c r="E23" s="70"/>
      <c r="F23" s="70"/>
      <c r="G23" s="70"/>
      <c r="H23" s="70"/>
    </row>
    <row r="24" spans="2:8" ht="19.5" customHeight="1">
      <c r="B24" s="164" t="s">
        <v>75</v>
      </c>
      <c r="C24" s="165"/>
      <c r="D24" s="66">
        <v>14650</v>
      </c>
      <c r="E24" s="70"/>
      <c r="F24" s="70"/>
      <c r="G24" s="70"/>
      <c r="H24" s="70"/>
    </row>
    <row r="25" spans="2:8" ht="19.5" customHeight="1">
      <c r="B25" s="177" t="s">
        <v>17</v>
      </c>
      <c r="C25" s="178"/>
      <c r="D25" s="66">
        <v>22283.99</v>
      </c>
      <c r="E25" s="70"/>
      <c r="F25" s="70"/>
      <c r="G25" s="70"/>
      <c r="H25" s="70"/>
    </row>
    <row r="26" spans="2:8" ht="19.5" customHeight="1">
      <c r="B26" s="166" t="s">
        <v>152</v>
      </c>
      <c r="C26" s="217"/>
      <c r="D26" s="66">
        <v>6000</v>
      </c>
      <c r="E26" s="70"/>
      <c r="F26" s="70"/>
      <c r="G26" s="70"/>
      <c r="H26" s="70"/>
    </row>
    <row r="27" spans="2:8" ht="19.5" customHeight="1">
      <c r="B27" s="166" t="s">
        <v>33</v>
      </c>
      <c r="C27" s="167"/>
      <c r="D27" s="66">
        <v>976.09</v>
      </c>
      <c r="E27" s="70"/>
      <c r="F27" s="70"/>
      <c r="G27" s="70"/>
      <c r="H27" s="70"/>
    </row>
    <row r="28" spans="2:8" ht="19.5" customHeight="1" thickBot="1">
      <c r="B28" s="173" t="s">
        <v>110</v>
      </c>
      <c r="C28" s="174"/>
      <c r="D28" s="81">
        <f>342+750+2377.55</f>
        <v>3469.55</v>
      </c>
      <c r="E28" s="70"/>
      <c r="F28" s="70"/>
      <c r="G28" s="70"/>
      <c r="H28" s="70"/>
    </row>
    <row r="29" spans="2:8" ht="19.5" customHeight="1">
      <c r="B29" s="171" t="s">
        <v>22</v>
      </c>
      <c r="C29" s="172"/>
      <c r="D29" s="38">
        <f>D30+D33+D31+D32</f>
        <v>336723</v>
      </c>
      <c r="E29" s="70"/>
      <c r="F29" s="70"/>
      <c r="G29" s="70"/>
      <c r="H29" s="70"/>
    </row>
    <row r="30" spans="2:8" ht="19.5" customHeight="1">
      <c r="B30" s="175" t="s">
        <v>16</v>
      </c>
      <c r="C30" s="176"/>
      <c r="D30" s="66">
        <v>450</v>
      </c>
      <c r="E30" s="70"/>
      <c r="F30" s="70"/>
      <c r="G30" s="70"/>
      <c r="H30" s="70"/>
    </row>
    <row r="31" spans="2:8" ht="19.5" customHeight="1">
      <c r="B31" s="164" t="s">
        <v>47</v>
      </c>
      <c r="C31" s="165"/>
      <c r="D31" s="66">
        <v>270096</v>
      </c>
      <c r="E31" s="70"/>
      <c r="F31" s="70"/>
      <c r="G31" s="70"/>
      <c r="H31" s="70"/>
    </row>
    <row r="32" spans="2:8" ht="19.5" customHeight="1">
      <c r="B32" s="164" t="s">
        <v>56</v>
      </c>
      <c r="C32" s="165"/>
      <c r="D32" s="66">
        <v>5500</v>
      </c>
      <c r="E32" s="70"/>
      <c r="F32" s="70"/>
      <c r="G32" s="70"/>
      <c r="H32" s="70"/>
    </row>
    <row r="33" spans="2:8" ht="19.5" customHeight="1" thickBot="1">
      <c r="B33" s="164" t="s">
        <v>140</v>
      </c>
      <c r="C33" s="165"/>
      <c r="D33" s="66">
        <v>60677</v>
      </c>
      <c r="E33" s="71"/>
      <c r="F33" s="70"/>
      <c r="G33" s="70"/>
      <c r="H33" s="70"/>
    </row>
    <row r="34" spans="2:8" ht="19.5" customHeight="1" thickBot="1">
      <c r="B34" s="193" t="s">
        <v>42</v>
      </c>
      <c r="C34" s="205"/>
      <c r="D34" s="44">
        <v>480.24</v>
      </c>
      <c r="E34" s="70"/>
      <c r="F34" s="70"/>
      <c r="G34" s="70"/>
      <c r="H34" s="70"/>
    </row>
    <row r="35" spans="2:8" ht="19.5" customHeight="1" thickBot="1">
      <c r="B35" s="193" t="s">
        <v>141</v>
      </c>
      <c r="C35" s="194"/>
      <c r="D35" s="40">
        <v>3017.89</v>
      </c>
      <c r="E35" s="70"/>
      <c r="F35" s="70"/>
      <c r="G35" s="70"/>
      <c r="H35" s="70"/>
    </row>
    <row r="36" spans="2:8" ht="19.5" customHeight="1">
      <c r="B36" s="171" t="s">
        <v>24</v>
      </c>
      <c r="C36" s="172"/>
      <c r="D36" s="38">
        <f>D37+D38+D39+D40+D41+D42+D43+D44+D45+D46</f>
        <v>244824.22999999998</v>
      </c>
      <c r="E36" s="70"/>
      <c r="F36" s="70"/>
      <c r="G36" s="70"/>
      <c r="H36" s="70"/>
    </row>
    <row r="37" spans="2:8" ht="18" customHeight="1">
      <c r="B37" s="175" t="s">
        <v>139</v>
      </c>
      <c r="C37" s="176"/>
      <c r="D37" s="66">
        <v>128430.85</v>
      </c>
      <c r="E37" s="70"/>
      <c r="F37" s="70"/>
      <c r="G37" s="70"/>
      <c r="H37" s="70"/>
    </row>
    <row r="38" spans="2:8" ht="19.5" customHeight="1">
      <c r="B38" s="164" t="s">
        <v>99</v>
      </c>
      <c r="C38" s="168"/>
      <c r="D38" s="66">
        <v>25910.880000000001</v>
      </c>
      <c r="E38" s="70"/>
      <c r="F38" s="70"/>
      <c r="G38" s="70"/>
      <c r="H38" s="70"/>
    </row>
    <row r="39" spans="2:8" ht="19.5" customHeight="1">
      <c r="B39" s="164" t="s">
        <v>101</v>
      </c>
      <c r="C39" s="168"/>
      <c r="D39" s="66">
        <v>43372.45</v>
      </c>
      <c r="E39" s="70"/>
      <c r="F39" s="70"/>
      <c r="G39" s="70"/>
      <c r="H39" s="70"/>
    </row>
    <row r="40" spans="2:8" ht="19.5" customHeight="1">
      <c r="B40" s="164" t="s">
        <v>107</v>
      </c>
      <c r="C40" s="168"/>
      <c r="D40" s="66">
        <v>4274.58</v>
      </c>
      <c r="E40" s="70"/>
      <c r="F40" s="70"/>
      <c r="G40" s="70"/>
      <c r="H40" s="70"/>
    </row>
    <row r="41" spans="2:8" ht="19.5" customHeight="1">
      <c r="B41" s="164" t="s">
        <v>1</v>
      </c>
      <c r="C41" s="168"/>
      <c r="D41" s="66">
        <f>10337.54</f>
        <v>10337.540000000001</v>
      </c>
      <c r="E41" s="70"/>
      <c r="F41" s="70"/>
      <c r="G41" s="70"/>
      <c r="H41" s="70"/>
    </row>
    <row r="42" spans="2:8" ht="19.5" customHeight="1">
      <c r="B42" s="192" t="s">
        <v>103</v>
      </c>
      <c r="C42" s="167"/>
      <c r="D42" s="66">
        <v>3347.11</v>
      </c>
      <c r="E42" s="70"/>
      <c r="F42" s="70"/>
      <c r="G42" s="70"/>
      <c r="H42" s="70"/>
    </row>
    <row r="43" spans="2:8" ht="19.5" customHeight="1">
      <c r="B43" s="192" t="s">
        <v>0</v>
      </c>
      <c r="C43" s="167"/>
      <c r="D43" s="66">
        <v>1017.91</v>
      </c>
      <c r="E43" s="70"/>
      <c r="F43" s="70"/>
      <c r="G43" s="70"/>
      <c r="H43" s="70"/>
    </row>
    <row r="44" spans="2:8" ht="19.5" customHeight="1">
      <c r="B44" s="192" t="s">
        <v>109</v>
      </c>
      <c r="C44" s="167"/>
      <c r="D44" s="66">
        <v>1258.8900000000001</v>
      </c>
      <c r="E44" s="70"/>
      <c r="F44" s="70"/>
      <c r="G44" s="70"/>
      <c r="H44" s="70"/>
    </row>
    <row r="45" spans="2:8" ht="19.5" customHeight="1">
      <c r="B45" s="192" t="s">
        <v>13</v>
      </c>
      <c r="C45" s="167"/>
      <c r="D45" s="66">
        <v>2310.37</v>
      </c>
      <c r="E45" s="70"/>
      <c r="F45" s="70"/>
      <c r="G45" s="70"/>
      <c r="H45" s="70"/>
    </row>
    <row r="46" spans="2:8" ht="19.5" customHeight="1" thickBot="1">
      <c r="B46" s="206" t="s">
        <v>104</v>
      </c>
      <c r="C46" s="207"/>
      <c r="D46" s="81">
        <v>24563.65</v>
      </c>
      <c r="E46" s="70"/>
      <c r="F46" s="70"/>
      <c r="G46" s="70"/>
      <c r="H46" s="70"/>
    </row>
    <row r="47" spans="2:8" ht="19.5" customHeight="1" thickBot="1">
      <c r="B47" s="208" t="s">
        <v>98</v>
      </c>
      <c r="C47" s="204"/>
      <c r="D47" s="112">
        <f>D9+D15+D16+D29+D34+D35+D36</f>
        <v>1081327.92</v>
      </c>
      <c r="E47" s="74"/>
      <c r="F47" s="70"/>
      <c r="G47" s="71"/>
      <c r="H47" s="70"/>
    </row>
    <row r="48" spans="2:8">
      <c r="B48" s="216"/>
      <c r="C48" s="216"/>
      <c r="D48" s="94"/>
      <c r="E48" s="13"/>
      <c r="F48" s="70"/>
      <c r="G48" s="70"/>
      <c r="H48" s="70"/>
    </row>
    <row r="49" spans="2:4">
      <c r="B49" s="216"/>
      <c r="C49" s="216"/>
      <c r="D49" s="28"/>
    </row>
  </sheetData>
  <mergeCells count="48">
    <mergeCell ref="B1:D1"/>
    <mergeCell ref="B47:C47"/>
    <mergeCell ref="B13:C13"/>
    <mergeCell ref="B31:C31"/>
    <mergeCell ref="B48:C48"/>
    <mergeCell ref="B23:C23"/>
    <mergeCell ref="B26:C26"/>
    <mergeCell ref="B14:C14"/>
    <mergeCell ref="B2:C2"/>
    <mergeCell ref="B3:C3"/>
    <mergeCell ref="B4:C4"/>
    <mergeCell ref="B5:C5"/>
    <mergeCell ref="B6:C6"/>
    <mergeCell ref="B25:C25"/>
    <mergeCell ref="B27:C27"/>
    <mergeCell ref="B18:C18"/>
    <mergeCell ref="B49:C49"/>
    <mergeCell ref="B38:C38"/>
    <mergeCell ref="B44:C44"/>
    <mergeCell ref="B45:C45"/>
    <mergeCell ref="B39:C39"/>
    <mergeCell ref="B40:C40"/>
    <mergeCell ref="B41:C41"/>
    <mergeCell ref="B42:C42"/>
    <mergeCell ref="B43:C43"/>
    <mergeCell ref="B22:C22"/>
    <mergeCell ref="B10:C10"/>
    <mergeCell ref="B11:C11"/>
    <mergeCell ref="B12:C12"/>
    <mergeCell ref="B15:C15"/>
    <mergeCell ref="B16:C16"/>
    <mergeCell ref="B17:C17"/>
    <mergeCell ref="B9:C9"/>
    <mergeCell ref="B8:C8"/>
    <mergeCell ref="B7:C7"/>
    <mergeCell ref="B24:C24"/>
    <mergeCell ref="B46:C46"/>
    <mergeCell ref="B30:C30"/>
    <mergeCell ref="B33:C33"/>
    <mergeCell ref="B28:C28"/>
    <mergeCell ref="B29:C29"/>
    <mergeCell ref="B35:C35"/>
    <mergeCell ref="B36:C36"/>
    <mergeCell ref="B37:C37"/>
    <mergeCell ref="B34:C34"/>
    <mergeCell ref="B32:C32"/>
    <mergeCell ref="B19:C19"/>
    <mergeCell ref="B20:C20"/>
  </mergeCells>
  <pageMargins left="0.11811023622047245" right="0.11811023622047245" top="0.15748031496062992" bottom="0.15748031496062992" header="0" footer="0"/>
  <pageSetup paperSize="9" scale="8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57"/>
  <sheetViews>
    <sheetView topLeftCell="A25" workbookViewId="0">
      <selection activeCell="B30" sqref="B30:C30"/>
    </sheetView>
  </sheetViews>
  <sheetFormatPr defaultRowHeight="15"/>
  <cols>
    <col min="1" max="1" width="4.140625" customWidth="1"/>
    <col min="2" max="2" width="9.140625" customWidth="1"/>
    <col min="3" max="3" width="72.85546875" customWidth="1"/>
    <col min="4" max="4" width="18" customWidth="1"/>
    <col min="5" max="5" width="19.7109375" customWidth="1"/>
    <col min="6" max="6" width="19.85546875" customWidth="1"/>
  </cols>
  <sheetData>
    <row r="1" spans="2:6" ht="3.75" customHeight="1" thickBot="1"/>
    <row r="2" spans="2:6" ht="33.75" customHeight="1" thickBot="1">
      <c r="B2" s="199" t="s">
        <v>167</v>
      </c>
      <c r="C2" s="313"/>
      <c r="D2" s="314"/>
      <c r="E2" s="136"/>
      <c r="F2" s="136"/>
    </row>
    <row r="3" spans="2:6" ht="18" thickBot="1">
      <c r="B3" s="218" t="s">
        <v>60</v>
      </c>
      <c r="C3" s="218"/>
      <c r="D3" s="135" t="s">
        <v>23</v>
      </c>
      <c r="E3" s="2"/>
      <c r="F3" s="2"/>
    </row>
    <row r="4" spans="2:6" ht="18.75" customHeight="1">
      <c r="B4" s="220" t="s">
        <v>49</v>
      </c>
      <c r="C4" s="220"/>
      <c r="D4" s="47">
        <v>1327062.24</v>
      </c>
      <c r="E4" s="2"/>
      <c r="F4" s="2"/>
    </row>
    <row r="5" spans="2:6" ht="19.5" customHeight="1">
      <c r="B5" s="220" t="s">
        <v>29</v>
      </c>
      <c r="C5" s="220"/>
      <c r="D5" s="47">
        <f>905319.56+175301.87</f>
        <v>1080621.4300000002</v>
      </c>
      <c r="E5" s="2"/>
      <c r="F5" s="2"/>
    </row>
    <row r="6" spans="2:6" ht="21" customHeight="1" thickBot="1">
      <c r="B6" s="222" t="s">
        <v>59</v>
      </c>
      <c r="C6" s="222"/>
      <c r="D6" s="54">
        <f>D4-D5</f>
        <v>246440.80999999982</v>
      </c>
      <c r="E6" s="2"/>
      <c r="F6" s="2"/>
    </row>
    <row r="7" spans="2:6" ht="16.5" thickBot="1">
      <c r="B7" s="244" t="s">
        <v>45</v>
      </c>
      <c r="C7" s="245"/>
      <c r="D7" s="157">
        <f>D5</f>
        <v>1080621.4300000002</v>
      </c>
      <c r="E7" s="17"/>
      <c r="F7" s="2"/>
    </row>
    <row r="8" spans="2:6" ht="18" thickBot="1">
      <c r="B8" s="302" t="s">
        <v>44</v>
      </c>
      <c r="C8" s="303"/>
      <c r="D8" s="56" t="s">
        <v>23</v>
      </c>
      <c r="E8" s="10"/>
    </row>
    <row r="9" spans="2:6" ht="18" customHeight="1">
      <c r="B9" s="195" t="s">
        <v>18</v>
      </c>
      <c r="C9" s="196"/>
      <c r="D9" s="53">
        <f>D10+D11+D12</f>
        <v>203142.82</v>
      </c>
      <c r="E9" s="11"/>
      <c r="F9" s="69"/>
    </row>
    <row r="10" spans="2:6" ht="18.75" customHeight="1">
      <c r="B10" s="192" t="s">
        <v>2</v>
      </c>
      <c r="C10" s="167"/>
      <c r="D10" s="39">
        <v>166000</v>
      </c>
      <c r="E10" s="11"/>
      <c r="F10" s="70"/>
    </row>
    <row r="11" spans="2:6" ht="18.75" customHeight="1">
      <c r="B11" s="164" t="s">
        <v>99</v>
      </c>
      <c r="C11" s="168"/>
      <c r="D11" s="39">
        <f>199532-166000</f>
        <v>33532</v>
      </c>
      <c r="E11" s="11"/>
      <c r="F11" s="70"/>
    </row>
    <row r="12" spans="2:6" ht="21" customHeight="1" thickBot="1">
      <c r="B12" s="188" t="s">
        <v>105</v>
      </c>
      <c r="C12" s="189"/>
      <c r="D12" s="42">
        <v>3610.82</v>
      </c>
      <c r="E12" s="12"/>
      <c r="F12" s="70"/>
    </row>
    <row r="13" spans="2:6" ht="19.5" customHeight="1" thickBot="1">
      <c r="B13" s="169" t="s">
        <v>4</v>
      </c>
      <c r="C13" s="170"/>
      <c r="D13" s="43">
        <v>75777.179999999993</v>
      </c>
      <c r="E13" s="12"/>
      <c r="F13" s="70"/>
    </row>
    <row r="14" spans="2:6" ht="19.5" customHeight="1">
      <c r="B14" s="171" t="s">
        <v>14</v>
      </c>
      <c r="C14" s="312"/>
      <c r="D14" s="38">
        <f>D15+D16+D17+D18+D20+D21+D22+D23+D25+D27+D28+D29+D30+D31+D32+D26+D19</f>
        <v>629086.41999999993</v>
      </c>
      <c r="E14" s="12"/>
      <c r="F14" s="70"/>
    </row>
    <row r="15" spans="2:6" ht="19.5" customHeight="1">
      <c r="B15" s="175" t="s">
        <v>121</v>
      </c>
      <c r="C15" s="289"/>
      <c r="D15" s="75">
        <f>135572.15-D12-D16-19337.05</f>
        <v>108146.57999999999</v>
      </c>
      <c r="E15" s="12"/>
      <c r="F15" s="70"/>
    </row>
    <row r="16" spans="2:6" ht="18" customHeight="1">
      <c r="B16" s="223" t="s">
        <v>5</v>
      </c>
      <c r="C16" s="310"/>
      <c r="D16" s="76">
        <v>4477.7</v>
      </c>
      <c r="E16" s="12"/>
      <c r="F16" s="70"/>
    </row>
    <row r="17" spans="2:6" ht="18" customHeight="1">
      <c r="B17" s="212" t="s">
        <v>132</v>
      </c>
      <c r="C17" s="311"/>
      <c r="D17" s="65">
        <v>205945.79</v>
      </c>
      <c r="E17" s="12"/>
      <c r="F17" s="70"/>
    </row>
    <row r="18" spans="2:6" ht="17.25" customHeight="1">
      <c r="B18" s="192" t="s">
        <v>99</v>
      </c>
      <c r="C18" s="315"/>
      <c r="D18" s="66">
        <v>41449.07</v>
      </c>
      <c r="E18" s="11"/>
      <c r="F18" s="70"/>
    </row>
    <row r="19" spans="2:6" ht="17.25" customHeight="1">
      <c r="B19" s="149" t="s">
        <v>96</v>
      </c>
      <c r="C19" s="148"/>
      <c r="D19" s="66">
        <v>5775.62</v>
      </c>
      <c r="E19" s="11"/>
      <c r="F19" s="70"/>
    </row>
    <row r="20" spans="2:6" ht="19.5" customHeight="1">
      <c r="B20" s="164" t="s">
        <v>32</v>
      </c>
      <c r="C20" s="288"/>
      <c r="D20" s="66">
        <f>19201.05+136+3529.03</f>
        <v>22866.079999999998</v>
      </c>
      <c r="E20" s="11"/>
      <c r="F20" s="70"/>
    </row>
    <row r="21" spans="2:6" ht="18.75" customHeight="1">
      <c r="B21" s="177" t="s">
        <v>38</v>
      </c>
      <c r="C21" s="316"/>
      <c r="D21" s="66">
        <v>26296.82</v>
      </c>
      <c r="E21" s="11"/>
      <c r="F21" s="70"/>
    </row>
    <row r="22" spans="2:6" ht="18.75" customHeight="1">
      <c r="B22" s="177" t="s">
        <v>67</v>
      </c>
      <c r="C22" s="317"/>
      <c r="D22" s="66">
        <v>6300</v>
      </c>
      <c r="E22" s="11"/>
      <c r="F22" s="70"/>
    </row>
    <row r="23" spans="2:6" ht="19.5" customHeight="1">
      <c r="B23" s="177" t="s">
        <v>168</v>
      </c>
      <c r="C23" s="317"/>
      <c r="D23" s="66">
        <f>1200+1250+4000+12250+3950+8800+19250</f>
        <v>50700</v>
      </c>
      <c r="E23" s="11"/>
      <c r="F23" s="70"/>
    </row>
    <row r="24" spans="2:6" ht="19.5" customHeight="1">
      <c r="B24" s="177" t="s">
        <v>171</v>
      </c>
      <c r="C24" s="229"/>
      <c r="D24" s="66"/>
      <c r="E24" s="11"/>
      <c r="F24" s="70"/>
    </row>
    <row r="25" spans="2:6" ht="18.75" customHeight="1">
      <c r="B25" s="164" t="s">
        <v>172</v>
      </c>
      <c r="C25" s="165"/>
      <c r="D25" s="66">
        <f>75680+19780+4850+8720</f>
        <v>109030</v>
      </c>
      <c r="E25" s="11"/>
      <c r="F25" s="70"/>
    </row>
    <row r="26" spans="2:6" ht="19.5" customHeight="1">
      <c r="B26" s="318" t="s">
        <v>174</v>
      </c>
      <c r="C26" s="319"/>
      <c r="D26" s="66">
        <v>3500</v>
      </c>
      <c r="E26" s="11"/>
      <c r="F26" s="70"/>
    </row>
    <row r="27" spans="2:6" ht="20.25" customHeight="1">
      <c r="B27" s="166" t="s">
        <v>33</v>
      </c>
      <c r="C27" s="315"/>
      <c r="D27" s="66">
        <v>1151.8599999999999</v>
      </c>
      <c r="E27" s="13"/>
      <c r="F27" s="70"/>
    </row>
    <row r="28" spans="2:6" ht="18.75" customHeight="1">
      <c r="B28" s="164" t="s">
        <v>123</v>
      </c>
      <c r="C28" s="288"/>
      <c r="D28" s="66">
        <f>1580+2805.7</f>
        <v>4385.7</v>
      </c>
      <c r="E28" s="74"/>
      <c r="F28" s="70"/>
    </row>
    <row r="29" spans="2:6" ht="20.25" customHeight="1">
      <c r="B29" s="164" t="s">
        <v>41</v>
      </c>
      <c r="C29" s="288"/>
      <c r="D29" s="66">
        <v>397.98</v>
      </c>
      <c r="E29" s="70"/>
      <c r="F29" s="70"/>
    </row>
    <row r="30" spans="2:6" ht="20.25" customHeight="1">
      <c r="B30" s="164" t="s">
        <v>133</v>
      </c>
      <c r="C30" s="291"/>
      <c r="D30" s="66">
        <v>13813.22</v>
      </c>
      <c r="E30" s="70"/>
      <c r="F30" s="70"/>
    </row>
    <row r="31" spans="2:6" ht="19.5" customHeight="1">
      <c r="B31" s="164" t="s">
        <v>69</v>
      </c>
      <c r="C31" s="291"/>
      <c r="D31" s="66">
        <v>9800</v>
      </c>
      <c r="E31" s="70"/>
      <c r="F31" s="70"/>
    </row>
    <row r="32" spans="2:6" ht="20.25" customHeight="1" thickBot="1">
      <c r="B32" s="177" t="s">
        <v>21</v>
      </c>
      <c r="C32" s="229"/>
      <c r="D32" s="66">
        <v>15050</v>
      </c>
      <c r="E32" s="70"/>
      <c r="F32" s="70"/>
    </row>
    <row r="33" spans="2:6" ht="20.25" customHeight="1" thickBot="1">
      <c r="B33" s="320" t="s">
        <v>66</v>
      </c>
      <c r="C33" s="321"/>
      <c r="D33" s="40">
        <v>23000</v>
      </c>
      <c r="E33" s="70"/>
      <c r="F33" s="70"/>
    </row>
    <row r="34" spans="2:6" ht="20.25" customHeight="1" thickBot="1">
      <c r="B34" s="193" t="s">
        <v>42</v>
      </c>
      <c r="C34" s="205"/>
      <c r="D34" s="40">
        <v>566.72</v>
      </c>
      <c r="E34" s="70"/>
      <c r="F34" s="70"/>
    </row>
    <row r="35" spans="2:6" ht="21" customHeight="1">
      <c r="B35" s="171" t="s">
        <v>34</v>
      </c>
      <c r="C35" s="172"/>
      <c r="D35" s="38">
        <f>D36+D38+D37</f>
        <v>223090</v>
      </c>
      <c r="E35" s="70"/>
      <c r="F35" s="70"/>
    </row>
    <row r="36" spans="2:6" ht="18" customHeight="1">
      <c r="B36" s="307" t="s">
        <v>47</v>
      </c>
      <c r="C36" s="308"/>
      <c r="D36" s="66">
        <v>211400</v>
      </c>
      <c r="E36" s="70"/>
      <c r="F36" s="70"/>
    </row>
    <row r="37" spans="2:6" ht="18" customHeight="1">
      <c r="B37" s="175" t="s">
        <v>16</v>
      </c>
      <c r="C37" s="176"/>
      <c r="D37" s="66">
        <v>690</v>
      </c>
      <c r="E37" s="70"/>
      <c r="F37" s="70"/>
    </row>
    <row r="38" spans="2:6" ht="19.5" customHeight="1" thickBot="1">
      <c r="B38" s="164" t="s">
        <v>56</v>
      </c>
      <c r="C38" s="165"/>
      <c r="D38" s="66">
        <v>11000</v>
      </c>
      <c r="E38" s="70"/>
      <c r="F38" s="70"/>
    </row>
    <row r="39" spans="2:6" ht="19.5" customHeight="1">
      <c r="B39" s="171" t="s">
        <v>63</v>
      </c>
      <c r="C39" s="172"/>
      <c r="D39" s="38">
        <f>D40+D44+D43+D41+D42</f>
        <v>65301.46</v>
      </c>
      <c r="E39" s="70"/>
      <c r="F39" s="70"/>
    </row>
    <row r="40" spans="2:6" ht="19.5" customHeight="1">
      <c r="B40" s="164" t="s">
        <v>64</v>
      </c>
      <c r="C40" s="291"/>
      <c r="D40" s="66">
        <v>6000</v>
      </c>
      <c r="E40" s="70"/>
      <c r="F40" s="70"/>
    </row>
    <row r="41" spans="2:6" ht="19.5" customHeight="1">
      <c r="B41" s="164" t="s">
        <v>65</v>
      </c>
      <c r="C41" s="291"/>
      <c r="D41" s="66">
        <v>1107</v>
      </c>
      <c r="E41" s="70"/>
      <c r="F41" s="70"/>
    </row>
    <row r="42" spans="2:6" ht="19.5" customHeight="1">
      <c r="B42" s="164" t="s">
        <v>68</v>
      </c>
      <c r="C42" s="291"/>
      <c r="D42" s="66">
        <v>19400</v>
      </c>
      <c r="E42" s="70"/>
      <c r="F42" s="70"/>
    </row>
    <row r="43" spans="2:6" ht="19.5" customHeight="1">
      <c r="B43" s="164" t="s">
        <v>134</v>
      </c>
      <c r="C43" s="291"/>
      <c r="D43" s="66">
        <v>30794.46</v>
      </c>
      <c r="E43" s="70"/>
      <c r="F43" s="70"/>
    </row>
    <row r="44" spans="2:6" ht="19.5" customHeight="1" thickBot="1">
      <c r="B44" s="188" t="s">
        <v>175</v>
      </c>
      <c r="C44" s="309"/>
      <c r="D44" s="81">
        <v>8000</v>
      </c>
      <c r="E44" s="70"/>
      <c r="F44" s="70"/>
    </row>
    <row r="45" spans="2:6" ht="18" customHeight="1" thickBot="1">
      <c r="B45" s="268" t="s">
        <v>142</v>
      </c>
      <c r="C45" s="287"/>
      <c r="D45" s="43">
        <v>3561.34</v>
      </c>
      <c r="E45" s="70"/>
      <c r="F45" s="70"/>
    </row>
    <row r="46" spans="2:6" ht="18" customHeight="1">
      <c r="B46" s="171" t="s">
        <v>24</v>
      </c>
      <c r="C46" s="172"/>
      <c r="D46" s="38">
        <f>D47+D48+D49+D50+D51+D52+D53+D54+D55+D56</f>
        <v>288911.35999999999</v>
      </c>
      <c r="E46" s="70"/>
      <c r="F46" s="70"/>
    </row>
    <row r="47" spans="2:6" ht="19.5" customHeight="1">
      <c r="B47" s="175" t="s">
        <v>139</v>
      </c>
      <c r="C47" s="176"/>
      <c r="D47" s="66">
        <v>151558.24</v>
      </c>
      <c r="E47" s="70"/>
      <c r="F47" s="70"/>
    </row>
    <row r="48" spans="2:6" ht="19.5" customHeight="1">
      <c r="B48" s="164" t="s">
        <v>99</v>
      </c>
      <c r="C48" s="168"/>
      <c r="D48" s="66">
        <v>30576.82</v>
      </c>
      <c r="E48" s="70"/>
      <c r="F48" s="70"/>
    </row>
    <row r="49" spans="2:6" ht="19.5" customHeight="1">
      <c r="B49" s="164" t="s">
        <v>101</v>
      </c>
      <c r="C49" s="168"/>
      <c r="D49" s="66">
        <v>51182.82</v>
      </c>
      <c r="E49" s="70"/>
      <c r="F49" s="70"/>
    </row>
    <row r="50" spans="2:6" ht="19.5" customHeight="1">
      <c r="B50" s="164" t="s">
        <v>102</v>
      </c>
      <c r="C50" s="168"/>
      <c r="D50" s="66">
        <v>5044.33</v>
      </c>
      <c r="E50" s="70"/>
      <c r="F50" s="70"/>
    </row>
    <row r="51" spans="2:6" ht="19.5" customHeight="1">
      <c r="B51" s="164" t="s">
        <v>1</v>
      </c>
      <c r="C51" s="168"/>
      <c r="D51" s="66">
        <v>12199.09</v>
      </c>
      <c r="E51" s="70"/>
      <c r="F51" s="70"/>
    </row>
    <row r="52" spans="2:6" ht="19.5" customHeight="1">
      <c r="B52" s="192" t="s">
        <v>103</v>
      </c>
      <c r="C52" s="167"/>
      <c r="D52" s="66">
        <v>3949.85</v>
      </c>
      <c r="E52" s="70"/>
      <c r="F52" s="70"/>
    </row>
    <row r="53" spans="2:6" ht="19.5" customHeight="1">
      <c r="B53" s="192" t="s">
        <v>0</v>
      </c>
      <c r="C53" s="167"/>
      <c r="D53" s="66">
        <v>1201.21</v>
      </c>
      <c r="E53" s="70"/>
      <c r="F53" s="70"/>
    </row>
    <row r="54" spans="2:6" ht="19.5" customHeight="1">
      <c r="B54" s="192" t="s">
        <v>109</v>
      </c>
      <c r="C54" s="167"/>
      <c r="D54" s="66">
        <v>1485.59</v>
      </c>
      <c r="E54" s="70"/>
      <c r="F54" s="70"/>
    </row>
    <row r="55" spans="2:6" ht="19.5" customHeight="1">
      <c r="B55" s="192" t="s">
        <v>13</v>
      </c>
      <c r="C55" s="167"/>
      <c r="D55" s="66">
        <v>2726.42</v>
      </c>
      <c r="E55" s="70"/>
      <c r="F55" s="70"/>
    </row>
    <row r="56" spans="2:6" ht="19.5" customHeight="1" thickBot="1">
      <c r="B56" s="206" t="s">
        <v>104</v>
      </c>
      <c r="C56" s="207"/>
      <c r="D56" s="81">
        <v>28986.99</v>
      </c>
    </row>
    <row r="57" spans="2:6" ht="19.5" customHeight="1" thickBot="1">
      <c r="B57" s="208" t="s">
        <v>98</v>
      </c>
      <c r="C57" s="232"/>
      <c r="D57" s="124">
        <f>D9+D13+D14+D34+D35+D45+D46+D39+D33</f>
        <v>1512437.2999999998</v>
      </c>
      <c r="E57" s="7"/>
    </row>
  </sheetData>
  <mergeCells count="55">
    <mergeCell ref="B42:C42"/>
    <mergeCell ref="B26:C26"/>
    <mergeCell ref="B35:C35"/>
    <mergeCell ref="B31:C31"/>
    <mergeCell ref="B30:C30"/>
    <mergeCell ref="B33:C33"/>
    <mergeCell ref="B34:C34"/>
    <mergeCell ref="B37:C37"/>
    <mergeCell ref="B25:C25"/>
    <mergeCell ref="B23:C23"/>
    <mergeCell ref="B27:C27"/>
    <mergeCell ref="B28:C28"/>
    <mergeCell ref="B29:C29"/>
    <mergeCell ref="B24:C24"/>
    <mergeCell ref="B2:D2"/>
    <mergeCell ref="B49:C49"/>
    <mergeCell ref="B50:C50"/>
    <mergeCell ref="B51:C51"/>
    <mergeCell ref="B52:C52"/>
    <mergeCell ref="B11:C11"/>
    <mergeCell ref="B12:C12"/>
    <mergeCell ref="B3:C3"/>
    <mergeCell ref="B4:C4"/>
    <mergeCell ref="B5:C5"/>
    <mergeCell ref="B6:C6"/>
    <mergeCell ref="B45:C45"/>
    <mergeCell ref="B18:C18"/>
    <mergeCell ref="B20:C20"/>
    <mergeCell ref="B21:C21"/>
    <mergeCell ref="B22:C22"/>
    <mergeCell ref="B16:C16"/>
    <mergeCell ref="B17:C17"/>
    <mergeCell ref="B7:C7"/>
    <mergeCell ref="B8:C8"/>
    <mergeCell ref="B9:C9"/>
    <mergeCell ref="B10:C10"/>
    <mergeCell ref="B13:C13"/>
    <mergeCell ref="B14:C14"/>
    <mergeCell ref="B15:C15"/>
    <mergeCell ref="B57:C57"/>
    <mergeCell ref="B43:C43"/>
    <mergeCell ref="B41:C41"/>
    <mergeCell ref="B32:C32"/>
    <mergeCell ref="B46:C46"/>
    <mergeCell ref="B47:C47"/>
    <mergeCell ref="B48:C48"/>
    <mergeCell ref="B36:C36"/>
    <mergeCell ref="B38:C38"/>
    <mergeCell ref="B39:C39"/>
    <mergeCell ref="B40:C40"/>
    <mergeCell ref="B44:C44"/>
    <mergeCell ref="B55:C55"/>
    <mergeCell ref="B56:C56"/>
    <mergeCell ref="B53:C53"/>
    <mergeCell ref="B54:C5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4"/>
  <sheetViews>
    <sheetView topLeftCell="A37" workbookViewId="0">
      <selection activeCell="B34" sqref="B34:C34"/>
    </sheetView>
  </sheetViews>
  <sheetFormatPr defaultRowHeight="15"/>
  <cols>
    <col min="1" max="1" width="5.42578125" customWidth="1"/>
    <col min="3" max="3" width="72.85546875" customWidth="1"/>
    <col min="4" max="4" width="20.140625" customWidth="1"/>
    <col min="6" max="6" width="64.140625" customWidth="1"/>
  </cols>
  <sheetData>
    <row r="1" spans="2:6" ht="4.5" customHeight="1" thickBot="1"/>
    <row r="2" spans="2:6" ht="37.5" customHeight="1" thickBot="1">
      <c r="B2" s="199" t="s">
        <v>169</v>
      </c>
      <c r="C2" s="313"/>
      <c r="D2" s="314"/>
      <c r="E2" s="136"/>
      <c r="F2" s="136"/>
    </row>
    <row r="3" spans="2:6" ht="19.5" customHeight="1" thickBot="1">
      <c r="B3" s="218" t="s">
        <v>43</v>
      </c>
      <c r="C3" s="218"/>
      <c r="D3" s="135" t="s">
        <v>23</v>
      </c>
      <c r="E3" s="2"/>
      <c r="F3" s="2"/>
    </row>
    <row r="4" spans="2:6" ht="19.5" customHeight="1">
      <c r="B4" s="220" t="s">
        <v>49</v>
      </c>
      <c r="C4" s="220"/>
      <c r="D4" s="47">
        <v>819564.16</v>
      </c>
      <c r="E4" s="2"/>
      <c r="F4" s="2"/>
    </row>
    <row r="5" spans="2:6" ht="19.5" customHeight="1">
      <c r="B5" s="220" t="s">
        <v>29</v>
      </c>
      <c r="C5" s="220"/>
      <c r="D5" s="47">
        <v>547432.65</v>
      </c>
      <c r="E5" s="2"/>
      <c r="F5" s="2"/>
    </row>
    <row r="6" spans="2:6" ht="19.5" customHeight="1" thickBot="1">
      <c r="B6" s="222" t="s">
        <v>80</v>
      </c>
      <c r="C6" s="222"/>
      <c r="D6" s="54">
        <f>D4-D5</f>
        <v>272131.51</v>
      </c>
      <c r="E6" s="2"/>
      <c r="F6" s="2"/>
    </row>
    <row r="7" spans="2:6" ht="19.5" customHeight="1" thickBot="1">
      <c r="B7" s="244" t="s">
        <v>97</v>
      </c>
      <c r="C7" s="245"/>
      <c r="D7" s="157">
        <f>D5</f>
        <v>547432.65</v>
      </c>
      <c r="E7" s="17"/>
      <c r="F7" s="2"/>
    </row>
    <row r="8" spans="2:6" ht="19.5" customHeight="1" thickBot="1">
      <c r="B8" s="210" t="s">
        <v>44</v>
      </c>
      <c r="C8" s="211"/>
      <c r="D8" s="56" t="s">
        <v>23</v>
      </c>
      <c r="E8" s="10"/>
    </row>
    <row r="9" spans="2:6" ht="19.5" customHeight="1">
      <c r="B9" s="195" t="s">
        <v>18</v>
      </c>
      <c r="C9" s="196"/>
      <c r="D9" s="53">
        <f>D10+D11+D12</f>
        <v>125745.45</v>
      </c>
      <c r="E9" s="11"/>
      <c r="F9" s="69"/>
    </row>
    <row r="10" spans="2:6" ht="19.5" customHeight="1">
      <c r="B10" s="192" t="s">
        <v>2</v>
      </c>
      <c r="C10" s="167"/>
      <c r="D10" s="39">
        <v>102000</v>
      </c>
      <c r="E10" s="11"/>
      <c r="F10" s="70"/>
    </row>
    <row r="11" spans="2:6" ht="19.5" customHeight="1">
      <c r="B11" s="164" t="s">
        <v>99</v>
      </c>
      <c r="C11" s="168"/>
      <c r="D11" s="39">
        <f>122604-D10</f>
        <v>20604</v>
      </c>
      <c r="E11" s="11"/>
      <c r="F11" s="70"/>
    </row>
    <row r="12" spans="2:6" ht="19.5" customHeight="1" thickBot="1">
      <c r="B12" s="164" t="s">
        <v>105</v>
      </c>
      <c r="C12" s="165"/>
      <c r="D12" s="39">
        <v>3141.45</v>
      </c>
      <c r="E12" s="12"/>
      <c r="F12" s="70"/>
    </row>
    <row r="13" spans="2:6" ht="19.5" customHeight="1" thickBot="1">
      <c r="B13" s="214" t="s">
        <v>4</v>
      </c>
      <c r="C13" s="215"/>
      <c r="D13" s="40">
        <v>29939.56</v>
      </c>
      <c r="E13" s="12"/>
      <c r="F13" s="70"/>
    </row>
    <row r="14" spans="2:6" ht="19.5" customHeight="1">
      <c r="B14" s="171" t="s">
        <v>14</v>
      </c>
      <c r="C14" s="172"/>
      <c r="D14" s="38">
        <f>D15+D16+D17+D18+D19+D21+D22+D23+D24+D25+D26+D20</f>
        <v>296580.11000000004</v>
      </c>
      <c r="E14" s="12"/>
      <c r="F14" s="70"/>
    </row>
    <row r="15" spans="2:6" ht="19.5" customHeight="1">
      <c r="B15" s="175" t="s">
        <v>112</v>
      </c>
      <c r="C15" s="176"/>
      <c r="D15" s="75">
        <f>84545.86-D12-D16-11575.05</f>
        <v>32369.890000000003</v>
      </c>
      <c r="E15" s="12"/>
      <c r="F15" s="70"/>
    </row>
    <row r="16" spans="2:6" ht="19.5" customHeight="1">
      <c r="B16" s="223" t="s">
        <v>5</v>
      </c>
      <c r="C16" s="224"/>
      <c r="D16" s="76">
        <v>37459.47</v>
      </c>
      <c r="E16" s="12"/>
      <c r="F16" s="70"/>
    </row>
    <row r="17" spans="2:6" ht="19.5" customHeight="1">
      <c r="B17" s="212" t="s">
        <v>117</v>
      </c>
      <c r="C17" s="213"/>
      <c r="D17" s="65">
        <v>110388.84</v>
      </c>
      <c r="E17" s="12"/>
      <c r="F17" s="70"/>
    </row>
    <row r="18" spans="2:6" ht="19.5" customHeight="1">
      <c r="B18" s="192" t="s">
        <v>99</v>
      </c>
      <c r="C18" s="167"/>
      <c r="D18" s="66">
        <v>22217.08</v>
      </c>
      <c r="E18" s="11"/>
      <c r="F18" s="70"/>
    </row>
    <row r="19" spans="2:6" ht="19.5" customHeight="1">
      <c r="B19" s="164" t="s">
        <v>32</v>
      </c>
      <c r="C19" s="165"/>
      <c r="D19" s="66">
        <f>11475.05+100+2050.96</f>
        <v>13626.009999999998</v>
      </c>
      <c r="E19" s="11"/>
      <c r="F19" s="70"/>
    </row>
    <row r="20" spans="2:6" ht="19.5" customHeight="1">
      <c r="B20" s="149" t="s">
        <v>96</v>
      </c>
      <c r="C20" s="148"/>
      <c r="D20" s="66">
        <v>3356.61</v>
      </c>
      <c r="E20" s="11"/>
      <c r="F20" s="70"/>
    </row>
    <row r="21" spans="2:6" ht="19.5" customHeight="1">
      <c r="B21" s="177" t="s">
        <v>19</v>
      </c>
      <c r="C21" s="178"/>
      <c r="D21" s="66">
        <v>15282.89</v>
      </c>
      <c r="E21" s="11"/>
      <c r="F21" s="70"/>
    </row>
    <row r="22" spans="2:6" ht="19.5" customHeight="1">
      <c r="B22" s="166" t="s">
        <v>152</v>
      </c>
      <c r="C22" s="217"/>
      <c r="D22" s="66">
        <v>12600</v>
      </c>
      <c r="E22" s="11"/>
      <c r="F22" s="70"/>
    </row>
    <row r="23" spans="2:6" ht="19.5" customHeight="1">
      <c r="B23" s="177" t="s">
        <v>81</v>
      </c>
      <c r="C23" s="229"/>
      <c r="D23" s="66">
        <v>800</v>
      </c>
      <c r="E23" s="11"/>
      <c r="F23" s="70"/>
    </row>
    <row r="24" spans="2:6" ht="19.5" customHeight="1">
      <c r="B24" s="166" t="s">
        <v>33</v>
      </c>
      <c r="C24" s="167"/>
      <c r="D24" s="66">
        <v>669.42</v>
      </c>
      <c r="E24" s="13"/>
      <c r="F24" s="70"/>
    </row>
    <row r="25" spans="2:6" ht="19.5" customHeight="1">
      <c r="B25" s="164" t="s">
        <v>110</v>
      </c>
      <c r="C25" s="165"/>
      <c r="D25" s="66">
        <f>940+1630.58</f>
        <v>2570.58</v>
      </c>
      <c r="E25" s="74"/>
      <c r="F25" s="70"/>
    </row>
    <row r="26" spans="2:6" ht="19.5" customHeight="1" thickBot="1">
      <c r="B26" s="188" t="s">
        <v>41</v>
      </c>
      <c r="C26" s="189"/>
      <c r="D26" s="81">
        <f>28409.12+16830.2</f>
        <v>45239.32</v>
      </c>
      <c r="E26" s="70"/>
      <c r="F26" s="70"/>
    </row>
    <row r="27" spans="2:6" ht="19.5" customHeight="1" thickBot="1">
      <c r="B27" s="268" t="s">
        <v>42</v>
      </c>
      <c r="C27" s="269"/>
      <c r="D27" s="49">
        <v>329.36</v>
      </c>
      <c r="E27" s="70"/>
      <c r="F27" s="70"/>
    </row>
    <row r="28" spans="2:6" ht="19.5" customHeight="1">
      <c r="B28" s="171" t="s">
        <v>34</v>
      </c>
      <c r="C28" s="172"/>
      <c r="D28" s="38">
        <f>D29+D31+D30</f>
        <v>132490</v>
      </c>
      <c r="E28" s="70"/>
      <c r="F28" s="70"/>
    </row>
    <row r="29" spans="2:6" ht="19.5" customHeight="1">
      <c r="B29" s="164" t="s">
        <v>47</v>
      </c>
      <c r="C29" s="165"/>
      <c r="D29" s="66">
        <v>120800</v>
      </c>
      <c r="E29" s="70"/>
      <c r="F29" s="70"/>
    </row>
    <row r="30" spans="2:6" ht="19.5" customHeight="1">
      <c r="B30" s="175" t="s">
        <v>16</v>
      </c>
      <c r="C30" s="176"/>
      <c r="D30" s="66">
        <v>690</v>
      </c>
      <c r="E30" s="70"/>
      <c r="F30" s="70"/>
    </row>
    <row r="31" spans="2:6" ht="19.5" customHeight="1" thickBot="1">
      <c r="B31" s="188" t="s">
        <v>56</v>
      </c>
      <c r="C31" s="189"/>
      <c r="D31" s="81">
        <v>11000</v>
      </c>
      <c r="E31" s="70"/>
      <c r="F31" s="70"/>
    </row>
    <row r="32" spans="2:6" ht="19.5" customHeight="1" thickBot="1">
      <c r="B32" s="268" t="s">
        <v>142</v>
      </c>
      <c r="C32" s="287"/>
      <c r="D32" s="43">
        <v>2069.7399999999998</v>
      </c>
      <c r="E32" s="70"/>
      <c r="F32" s="70"/>
    </row>
    <row r="33" spans="2:6" ht="19.5" customHeight="1">
      <c r="B33" s="171" t="s">
        <v>24</v>
      </c>
      <c r="C33" s="172"/>
      <c r="D33" s="38">
        <f>D34+D35+D36+D37+D38+D39+D40+D41+D42+D43</f>
        <v>167906.29</v>
      </c>
      <c r="E33" s="70"/>
      <c r="F33" s="70"/>
    </row>
    <row r="34" spans="2:6" ht="19.5" customHeight="1">
      <c r="B34" s="175" t="s">
        <v>139</v>
      </c>
      <c r="C34" s="176"/>
      <c r="D34" s="66">
        <v>88080.93</v>
      </c>
      <c r="E34" s="70"/>
      <c r="F34" s="70"/>
    </row>
    <row r="35" spans="2:6" ht="19.5" customHeight="1">
      <c r="B35" s="164" t="s">
        <v>99</v>
      </c>
      <c r="C35" s="168"/>
      <c r="D35" s="66">
        <v>17770.3</v>
      </c>
      <c r="E35" s="70"/>
      <c r="F35" s="70"/>
    </row>
    <row r="36" spans="2:6" ht="19.5" customHeight="1">
      <c r="B36" s="164" t="s">
        <v>101</v>
      </c>
      <c r="C36" s="168"/>
      <c r="D36" s="66">
        <v>29745.86</v>
      </c>
      <c r="E36" s="70"/>
      <c r="F36" s="70"/>
    </row>
    <row r="37" spans="2:6" ht="19.5" customHeight="1">
      <c r="B37" s="164" t="s">
        <v>102</v>
      </c>
      <c r="C37" s="168"/>
      <c r="D37" s="66">
        <v>2931.61</v>
      </c>
      <c r="E37" s="70"/>
      <c r="F37" s="70"/>
    </row>
    <row r="38" spans="2:6" ht="19.5" customHeight="1">
      <c r="B38" s="164" t="s">
        <v>1</v>
      </c>
      <c r="C38" s="168"/>
      <c r="D38" s="66">
        <v>7089.73</v>
      </c>
      <c r="E38" s="70"/>
      <c r="F38" s="70"/>
    </row>
    <row r="39" spans="2:6" ht="19.5" customHeight="1">
      <c r="B39" s="192" t="s">
        <v>103</v>
      </c>
      <c r="C39" s="167"/>
      <c r="D39" s="66">
        <v>2295.5300000000002</v>
      </c>
      <c r="E39" s="70"/>
      <c r="F39" s="70"/>
    </row>
    <row r="40" spans="2:6" ht="19.5" customHeight="1">
      <c r="B40" s="192" t="s">
        <v>0</v>
      </c>
      <c r="C40" s="167"/>
      <c r="D40" s="66">
        <v>698.1</v>
      </c>
      <c r="E40" s="70"/>
      <c r="F40" s="70"/>
    </row>
    <row r="41" spans="2:6" ht="19.5" customHeight="1">
      <c r="B41" s="192" t="s">
        <v>109</v>
      </c>
      <c r="C41" s="167"/>
      <c r="D41" s="66">
        <v>863.38</v>
      </c>
      <c r="E41" s="70"/>
      <c r="F41" s="70"/>
    </row>
    <row r="42" spans="2:6" ht="19.5" customHeight="1">
      <c r="B42" s="192" t="s">
        <v>13</v>
      </c>
      <c r="C42" s="167"/>
      <c r="D42" s="66">
        <v>1584.51</v>
      </c>
      <c r="E42" s="70"/>
      <c r="F42" s="70"/>
    </row>
    <row r="43" spans="2:6" ht="19.5" customHeight="1" thickBot="1">
      <c r="B43" s="206" t="s">
        <v>104</v>
      </c>
      <c r="C43" s="207"/>
      <c r="D43" s="81">
        <v>16846.34</v>
      </c>
    </row>
    <row r="44" spans="2:6" ht="19.5" customHeight="1" thickBot="1">
      <c r="B44" s="208" t="s">
        <v>98</v>
      </c>
      <c r="C44" s="232"/>
      <c r="D44" s="124">
        <f>D9+D13+D14+D27+D28+D32+D33</f>
        <v>755060.51</v>
      </c>
      <c r="E44" s="7"/>
    </row>
  </sheetData>
  <mergeCells count="42">
    <mergeCell ref="B44:C44"/>
    <mergeCell ref="B39:C39"/>
    <mergeCell ref="B40:C40"/>
    <mergeCell ref="B41:C41"/>
    <mergeCell ref="B42:C42"/>
    <mergeCell ref="B43:C43"/>
    <mergeCell ref="B38:C38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30:C30"/>
    <mergeCell ref="B25:C25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12:C12"/>
    <mergeCell ref="B3:C3"/>
    <mergeCell ref="B4:C4"/>
    <mergeCell ref="B5:C5"/>
    <mergeCell ref="B6:C6"/>
    <mergeCell ref="B7:C7"/>
    <mergeCell ref="B2:D2"/>
    <mergeCell ref="B8:C8"/>
    <mergeCell ref="B9:C9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9"/>
  <sheetViews>
    <sheetView workbookViewId="0">
      <selection activeCell="B10" sqref="B10:C10"/>
    </sheetView>
  </sheetViews>
  <sheetFormatPr defaultRowHeight="15"/>
  <cols>
    <col min="1" max="1" width="5.7109375" customWidth="1"/>
    <col min="3" max="3" width="74.85546875" customWidth="1"/>
    <col min="4" max="4" width="15" customWidth="1"/>
    <col min="6" max="6" width="23.7109375" customWidth="1"/>
  </cols>
  <sheetData>
    <row r="1" spans="2:6" ht="8.25" customHeight="1" thickBot="1"/>
    <row r="2" spans="2:6" ht="41.25" customHeight="1" thickBot="1">
      <c r="B2" s="199" t="s">
        <v>170</v>
      </c>
      <c r="C2" s="313"/>
      <c r="D2" s="314"/>
      <c r="E2" s="136"/>
      <c r="F2" s="136"/>
    </row>
    <row r="3" spans="2:6" ht="19.5" customHeight="1" thickBot="1">
      <c r="B3" s="218" t="s">
        <v>43</v>
      </c>
      <c r="C3" s="218"/>
      <c r="D3" s="135" t="s">
        <v>23</v>
      </c>
      <c r="E3" s="2"/>
      <c r="F3" s="2"/>
    </row>
    <row r="4" spans="2:6" ht="19.5" customHeight="1">
      <c r="B4" s="220" t="s">
        <v>49</v>
      </c>
      <c r="C4" s="220"/>
      <c r="D4" s="47">
        <v>148406.60999999999</v>
      </c>
      <c r="E4" s="2"/>
      <c r="F4" s="2"/>
    </row>
    <row r="5" spans="2:6" ht="19.5" customHeight="1">
      <c r="B5" s="220" t="s">
        <v>29</v>
      </c>
      <c r="C5" s="220"/>
      <c r="D5" s="47">
        <v>55877.14</v>
      </c>
      <c r="E5" s="2"/>
      <c r="F5" s="2"/>
    </row>
    <row r="6" spans="2:6" ht="19.5" customHeight="1" thickBot="1">
      <c r="B6" s="222" t="s">
        <v>59</v>
      </c>
      <c r="C6" s="222"/>
      <c r="D6" s="54">
        <f>D4-D5</f>
        <v>92529.469999999987</v>
      </c>
      <c r="E6" s="2"/>
      <c r="F6" s="2"/>
    </row>
    <row r="7" spans="2:6" ht="19.5" customHeight="1" thickBot="1">
      <c r="B7" s="244" t="s">
        <v>45</v>
      </c>
      <c r="C7" s="245"/>
      <c r="D7" s="157">
        <f>D5</f>
        <v>55877.14</v>
      </c>
      <c r="E7" s="17"/>
      <c r="F7" s="2"/>
    </row>
    <row r="8" spans="2:6" ht="19.5" customHeight="1" thickBot="1">
      <c r="B8" s="210" t="s">
        <v>44</v>
      </c>
      <c r="C8" s="211"/>
      <c r="D8" s="56" t="s">
        <v>23</v>
      </c>
      <c r="E8" s="10"/>
    </row>
    <row r="9" spans="2:6" ht="19.5" customHeight="1">
      <c r="B9" s="195" t="s">
        <v>18</v>
      </c>
      <c r="C9" s="196"/>
      <c r="D9" s="53">
        <f>D10+D11+D12+D13</f>
        <v>52247.43</v>
      </c>
      <c r="E9" s="11"/>
      <c r="F9" s="69"/>
    </row>
    <row r="10" spans="2:6" ht="19.5" customHeight="1">
      <c r="B10" s="192" t="s">
        <v>2</v>
      </c>
      <c r="C10" s="167"/>
      <c r="D10" s="39">
        <v>36096</v>
      </c>
      <c r="E10" s="11"/>
      <c r="F10" s="70"/>
    </row>
    <row r="11" spans="2:6" ht="19.5" customHeight="1">
      <c r="B11" s="164" t="s">
        <v>99</v>
      </c>
      <c r="C11" s="168"/>
      <c r="D11" s="39">
        <f>43387.39-D10</f>
        <v>7291.3899999999994</v>
      </c>
      <c r="E11" s="11"/>
      <c r="F11" s="70"/>
    </row>
    <row r="12" spans="2:6" ht="19.5" customHeight="1">
      <c r="B12" s="164" t="s">
        <v>105</v>
      </c>
      <c r="C12" s="165"/>
      <c r="D12" s="39">
        <v>2340.46</v>
      </c>
      <c r="E12" s="12"/>
      <c r="F12" s="70"/>
    </row>
    <row r="13" spans="2:6" ht="19.5" customHeight="1" thickBot="1">
      <c r="B13" s="197" t="s">
        <v>135</v>
      </c>
      <c r="C13" s="198"/>
      <c r="D13" s="39">
        <v>6519.58</v>
      </c>
      <c r="E13" s="12"/>
      <c r="F13" s="70"/>
    </row>
    <row r="14" spans="2:6" ht="19.5" customHeight="1" thickBot="1">
      <c r="B14" s="169" t="s">
        <v>4</v>
      </c>
      <c r="C14" s="170"/>
      <c r="D14" s="40">
        <v>8819.58</v>
      </c>
      <c r="E14" s="12"/>
      <c r="F14" s="70"/>
    </row>
    <row r="15" spans="2:6" ht="19.5" customHeight="1">
      <c r="B15" s="171" t="s">
        <v>14</v>
      </c>
      <c r="C15" s="172"/>
      <c r="D15" s="38">
        <f>D16+D17+D18+D19+D21+D22+D23+D24+D25+D20</f>
        <v>79059.53</v>
      </c>
      <c r="E15" s="12"/>
      <c r="F15" s="70"/>
    </row>
    <row r="16" spans="2:6" ht="19.5" customHeight="1">
      <c r="B16" s="175" t="s">
        <v>112</v>
      </c>
      <c r="C16" s="176"/>
      <c r="D16" s="75">
        <f>21185.7-D12-D17-1826.05</f>
        <v>13748.260000000002</v>
      </c>
      <c r="E16" s="12"/>
      <c r="F16" s="70"/>
    </row>
    <row r="17" spans="2:6" ht="19.5" customHeight="1">
      <c r="B17" s="223" t="s">
        <v>5</v>
      </c>
      <c r="C17" s="224"/>
      <c r="D17" s="76">
        <v>3270.93</v>
      </c>
      <c r="E17" s="12"/>
      <c r="F17" s="70"/>
    </row>
    <row r="18" spans="2:6" ht="19.5" customHeight="1">
      <c r="B18" s="212" t="s">
        <v>117</v>
      </c>
      <c r="C18" s="213"/>
      <c r="D18" s="65">
        <v>30613.03</v>
      </c>
      <c r="E18" s="12"/>
      <c r="F18" s="70"/>
    </row>
    <row r="19" spans="2:6" ht="19.5" customHeight="1">
      <c r="B19" s="192" t="s">
        <v>99</v>
      </c>
      <c r="C19" s="167"/>
      <c r="D19" s="66">
        <v>6161.24</v>
      </c>
      <c r="E19" s="11"/>
      <c r="F19" s="70"/>
    </row>
    <row r="20" spans="2:6" ht="19.5" customHeight="1">
      <c r="B20" s="149" t="s">
        <v>96</v>
      </c>
      <c r="C20" s="148"/>
      <c r="D20" s="66">
        <v>600.05999999999995</v>
      </c>
      <c r="E20" s="11"/>
      <c r="F20" s="70"/>
    </row>
    <row r="21" spans="2:6" ht="19.5" customHeight="1">
      <c r="B21" s="164" t="s">
        <v>32</v>
      </c>
      <c r="C21" s="165"/>
      <c r="D21" s="66">
        <f>1726.05+100+366.65+17100</f>
        <v>19292.7</v>
      </c>
      <c r="E21" s="11"/>
      <c r="F21" s="70"/>
    </row>
    <row r="22" spans="2:6" ht="19.5" customHeight="1">
      <c r="B22" s="177" t="s">
        <v>19</v>
      </c>
      <c r="C22" s="178"/>
      <c r="D22" s="66">
        <v>2732.14</v>
      </c>
      <c r="E22" s="11"/>
      <c r="F22" s="70"/>
    </row>
    <row r="23" spans="2:6" ht="19.5" customHeight="1">
      <c r="B23" s="177" t="s">
        <v>81</v>
      </c>
      <c r="C23" s="229"/>
      <c r="D23" s="66">
        <v>800</v>
      </c>
      <c r="E23" s="11"/>
      <c r="F23" s="70"/>
    </row>
    <row r="24" spans="2:6" ht="19.5" customHeight="1">
      <c r="B24" s="166" t="s">
        <v>33</v>
      </c>
      <c r="C24" s="167"/>
      <c r="D24" s="66">
        <v>119.67</v>
      </c>
      <c r="E24" s="13"/>
      <c r="F24" s="70"/>
    </row>
    <row r="25" spans="2:6" ht="19.5" customHeight="1" thickBot="1">
      <c r="B25" s="164" t="s">
        <v>123</v>
      </c>
      <c r="C25" s="165"/>
      <c r="D25" s="66">
        <f>1430+291.5</f>
        <v>1721.5</v>
      </c>
      <c r="E25" s="74"/>
      <c r="F25" s="70"/>
    </row>
    <row r="26" spans="2:6" ht="19.5" customHeight="1" thickBot="1">
      <c r="B26" s="193" t="s">
        <v>42</v>
      </c>
      <c r="C26" s="205"/>
      <c r="D26" s="40">
        <v>58.88</v>
      </c>
      <c r="E26" s="70"/>
      <c r="F26" s="70"/>
    </row>
    <row r="27" spans="2:6" ht="19.5" customHeight="1" thickBot="1">
      <c r="B27" s="268" t="s">
        <v>142</v>
      </c>
      <c r="C27" s="287"/>
      <c r="D27" s="43">
        <v>370.01</v>
      </c>
      <c r="E27" s="70"/>
      <c r="F27" s="70"/>
    </row>
    <row r="28" spans="2:6" ht="19.5" customHeight="1">
      <c r="B28" s="171" t="s">
        <v>24</v>
      </c>
      <c r="C28" s="172"/>
      <c r="D28" s="38">
        <f>D29+D30+D31+D32+D33+D34+D35+D36+D37+D38</f>
        <v>30016.769999999993</v>
      </c>
      <c r="E28" s="70"/>
      <c r="F28" s="70"/>
    </row>
    <row r="29" spans="2:6" ht="19.5" customHeight="1">
      <c r="B29" s="175" t="s">
        <v>139</v>
      </c>
      <c r="C29" s="176"/>
      <c r="D29" s="66">
        <v>15746.31</v>
      </c>
      <c r="E29" s="70"/>
      <c r="F29" s="70"/>
    </row>
    <row r="30" spans="2:6" ht="19.5" customHeight="1">
      <c r="B30" s="164" t="s">
        <v>99</v>
      </c>
      <c r="C30" s="168"/>
      <c r="D30" s="66">
        <v>3176.81</v>
      </c>
      <c r="E30" s="70"/>
      <c r="F30" s="70"/>
    </row>
    <row r="31" spans="2:6" ht="19.5" customHeight="1">
      <c r="B31" s="164" t="s">
        <v>101</v>
      </c>
      <c r="C31" s="168"/>
      <c r="D31" s="66">
        <v>5317.7</v>
      </c>
      <c r="E31" s="70"/>
      <c r="F31" s="70"/>
    </row>
    <row r="32" spans="2:6" ht="19.5" customHeight="1">
      <c r="B32" s="164" t="s">
        <v>102</v>
      </c>
      <c r="C32" s="168"/>
      <c r="D32" s="66">
        <v>524.09</v>
      </c>
      <c r="E32" s="70"/>
      <c r="F32" s="70"/>
    </row>
    <row r="33" spans="2:6" ht="19.5" customHeight="1">
      <c r="B33" s="164" t="s">
        <v>1</v>
      </c>
      <c r="C33" s="168"/>
      <c r="D33" s="66">
        <v>1267.44</v>
      </c>
      <c r="E33" s="70"/>
      <c r="F33" s="70"/>
    </row>
    <row r="34" spans="2:6" ht="19.5" customHeight="1">
      <c r="B34" s="192" t="s">
        <v>103</v>
      </c>
      <c r="C34" s="167"/>
      <c r="D34" s="66">
        <v>410.37</v>
      </c>
      <c r="E34" s="70"/>
      <c r="F34" s="70"/>
    </row>
    <row r="35" spans="2:6" ht="19.5" customHeight="1">
      <c r="B35" s="192" t="s">
        <v>0</v>
      </c>
      <c r="C35" s="167"/>
      <c r="D35" s="66">
        <v>124.8</v>
      </c>
      <c r="E35" s="70"/>
      <c r="F35" s="70"/>
    </row>
    <row r="36" spans="2:6" ht="19.5" customHeight="1">
      <c r="B36" s="192" t="s">
        <v>109</v>
      </c>
      <c r="C36" s="167"/>
      <c r="D36" s="66">
        <v>154.35</v>
      </c>
      <c r="E36" s="70"/>
      <c r="F36" s="70"/>
    </row>
    <row r="37" spans="2:6" ht="19.5" customHeight="1">
      <c r="B37" s="192" t="s">
        <v>13</v>
      </c>
      <c r="C37" s="167"/>
      <c r="D37" s="66">
        <v>283.26</v>
      </c>
      <c r="E37" s="70"/>
      <c r="F37" s="70"/>
    </row>
    <row r="38" spans="2:6" ht="19.5" customHeight="1" thickBot="1">
      <c r="B38" s="206" t="s">
        <v>104</v>
      </c>
      <c r="C38" s="207"/>
      <c r="D38" s="81">
        <v>3011.64</v>
      </c>
    </row>
    <row r="39" spans="2:6" ht="19.5" customHeight="1" thickBot="1">
      <c r="B39" s="208" t="s">
        <v>98</v>
      </c>
      <c r="C39" s="232"/>
      <c r="D39" s="124">
        <f>D9+D14+D15+D26+D27+D28</f>
        <v>170572.2</v>
      </c>
      <c r="E39" s="7"/>
    </row>
  </sheetData>
  <mergeCells count="37">
    <mergeCell ref="B39:C39"/>
    <mergeCell ref="B34:C34"/>
    <mergeCell ref="B35:C35"/>
    <mergeCell ref="B36:C36"/>
    <mergeCell ref="B37:C37"/>
    <mergeCell ref="B38:C38"/>
    <mergeCell ref="B33:C33"/>
    <mergeCell ref="B26:C26"/>
    <mergeCell ref="B27:C27"/>
    <mergeCell ref="B28:C28"/>
    <mergeCell ref="B29:C29"/>
    <mergeCell ref="B30:C30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:D2"/>
    <mergeCell ref="B13:C13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2"/>
  <sheetViews>
    <sheetView topLeftCell="A7" workbookViewId="0">
      <selection activeCell="B23" sqref="B23:C23"/>
    </sheetView>
  </sheetViews>
  <sheetFormatPr defaultRowHeight="15"/>
  <cols>
    <col min="1" max="1" width="4.28515625" customWidth="1"/>
    <col min="3" max="3" width="71.28515625" customWidth="1"/>
    <col min="4" max="4" width="18.7109375" customWidth="1"/>
    <col min="5" max="5" width="0.5703125" hidden="1" customWidth="1"/>
    <col min="6" max="6" width="4.140625" customWidth="1"/>
    <col min="8" max="8" width="16" customWidth="1"/>
  </cols>
  <sheetData>
    <row r="1" spans="2:8" ht="40.5" customHeight="1" thickBot="1">
      <c r="B1" s="199" t="s">
        <v>146</v>
      </c>
      <c r="C1" s="200"/>
      <c r="D1" s="201"/>
      <c r="E1" s="154"/>
      <c r="F1" s="154"/>
    </row>
    <row r="2" spans="2:8" ht="19.5" customHeight="1" thickBot="1">
      <c r="B2" s="225" t="s">
        <v>43</v>
      </c>
      <c r="C2" s="226"/>
      <c r="D2" s="55" t="s">
        <v>23</v>
      </c>
      <c r="E2" s="2"/>
      <c r="F2" s="2"/>
    </row>
    <row r="3" spans="2:8" ht="19.5" customHeight="1">
      <c r="B3" s="219" t="s">
        <v>58</v>
      </c>
      <c r="C3" s="219"/>
      <c r="D3" s="46">
        <v>46549.22</v>
      </c>
      <c r="E3" s="2"/>
      <c r="F3" s="2"/>
    </row>
    <row r="4" spans="2:8" ht="19.5" customHeight="1">
      <c r="B4" s="220" t="s">
        <v>49</v>
      </c>
      <c r="C4" s="220"/>
      <c r="D4" s="47">
        <v>461611.2</v>
      </c>
      <c r="E4" s="2"/>
      <c r="F4" s="2"/>
    </row>
    <row r="5" spans="2:8" ht="19.5" customHeight="1">
      <c r="B5" s="220" t="s">
        <v>29</v>
      </c>
      <c r="C5" s="220"/>
      <c r="D5" s="47">
        <v>474082.83</v>
      </c>
      <c r="E5" s="2"/>
      <c r="F5" s="2"/>
    </row>
    <row r="6" spans="2:8" ht="19.5" customHeight="1" thickBot="1">
      <c r="B6" s="222" t="s">
        <v>59</v>
      </c>
      <c r="C6" s="222"/>
      <c r="D6" s="54">
        <f>D3+D4-D5</f>
        <v>34077.590000000026</v>
      </c>
      <c r="E6" s="2"/>
      <c r="F6" s="2"/>
    </row>
    <row r="7" spans="2:8" ht="19.5" customHeight="1" thickBot="1">
      <c r="B7" s="227" t="s">
        <v>97</v>
      </c>
      <c r="C7" s="228"/>
      <c r="D7" s="155">
        <f>D5</f>
        <v>474082.83</v>
      </c>
      <c r="E7" s="17"/>
      <c r="F7" s="2"/>
      <c r="G7" s="2"/>
    </row>
    <row r="8" spans="2:8" ht="19.5" customHeight="1" thickBot="1">
      <c r="B8" s="210" t="s">
        <v>44</v>
      </c>
      <c r="C8" s="211"/>
      <c r="D8" s="56" t="s">
        <v>23</v>
      </c>
      <c r="E8" s="10"/>
    </row>
    <row r="9" spans="2:8" ht="19.5" customHeight="1">
      <c r="B9" s="195" t="s">
        <v>18</v>
      </c>
      <c r="C9" s="196"/>
      <c r="D9" s="38">
        <f>D10+D11+D13+D12</f>
        <v>136111.30000000002</v>
      </c>
      <c r="E9" s="11"/>
      <c r="F9" s="69"/>
      <c r="G9" s="69"/>
      <c r="H9" s="85"/>
    </row>
    <row r="10" spans="2:8" ht="19.5" customHeight="1">
      <c r="B10" s="192" t="s">
        <v>2</v>
      </c>
      <c r="C10" s="167"/>
      <c r="D10" s="39">
        <v>110123</v>
      </c>
      <c r="E10" s="11"/>
      <c r="F10" s="70"/>
      <c r="G10" s="70"/>
      <c r="H10" s="83"/>
    </row>
    <row r="11" spans="2:8" ht="19.5" customHeight="1">
      <c r="B11" s="164" t="s">
        <v>99</v>
      </c>
      <c r="C11" s="168"/>
      <c r="D11" s="39">
        <f>132367.85-D10</f>
        <v>22244.850000000006</v>
      </c>
      <c r="E11" s="11"/>
      <c r="F11" s="70"/>
      <c r="G11" s="70"/>
      <c r="H11" s="71"/>
    </row>
    <row r="12" spans="2:8" ht="19.5" customHeight="1">
      <c r="B12" s="177" t="s">
        <v>40</v>
      </c>
      <c r="C12" s="229"/>
      <c r="D12" s="39">
        <v>1300</v>
      </c>
      <c r="E12" s="11"/>
      <c r="F12" s="70"/>
      <c r="G12" s="70"/>
      <c r="H12" s="71"/>
    </row>
    <row r="13" spans="2:8" ht="19.5" customHeight="1" thickBot="1">
      <c r="B13" s="188" t="s">
        <v>105</v>
      </c>
      <c r="C13" s="189"/>
      <c r="D13" s="39">
        <v>2443.4499999999998</v>
      </c>
      <c r="E13" s="12"/>
      <c r="F13" s="70"/>
      <c r="G13" s="70"/>
      <c r="H13" s="70"/>
    </row>
    <row r="14" spans="2:8" ht="19.5" customHeight="1" thickBot="1">
      <c r="B14" s="214" t="s">
        <v>4</v>
      </c>
      <c r="C14" s="215"/>
      <c r="D14" s="40">
        <v>28361.1</v>
      </c>
      <c r="E14" s="12"/>
      <c r="F14" s="70"/>
      <c r="G14" s="70"/>
      <c r="H14" s="70"/>
    </row>
    <row r="15" spans="2:8" ht="19.5" customHeight="1">
      <c r="B15" s="171" t="s">
        <v>14</v>
      </c>
      <c r="C15" s="172"/>
      <c r="D15" s="38">
        <f>D16+D17+D18+D19+D21+D22+D23+D24+D25+D20</f>
        <v>166357.6</v>
      </c>
      <c r="E15" s="12"/>
      <c r="F15" s="70"/>
      <c r="G15" s="70"/>
      <c r="H15" s="70"/>
    </row>
    <row r="16" spans="2:8" ht="19.5" customHeight="1">
      <c r="B16" s="175" t="s">
        <v>112</v>
      </c>
      <c r="C16" s="176"/>
      <c r="D16" s="72">
        <f>16913-D13-D17-504</f>
        <v>13711.5</v>
      </c>
      <c r="E16" s="12"/>
      <c r="F16" s="70"/>
      <c r="G16" s="70"/>
      <c r="H16" s="70"/>
    </row>
    <row r="17" spans="2:8" ht="19.5" customHeight="1">
      <c r="B17" s="223" t="s">
        <v>5</v>
      </c>
      <c r="C17" s="224"/>
      <c r="D17" s="73">
        <v>254.05</v>
      </c>
      <c r="E17" s="12"/>
      <c r="F17" s="70"/>
      <c r="G17" s="70"/>
      <c r="H17" s="70"/>
    </row>
    <row r="18" spans="2:8" ht="19.5" customHeight="1">
      <c r="B18" s="212" t="s">
        <v>117</v>
      </c>
      <c r="C18" s="213"/>
      <c r="D18" s="41">
        <v>109835.12</v>
      </c>
      <c r="E18" s="12"/>
      <c r="F18" s="70"/>
      <c r="G18" s="70"/>
      <c r="H18" s="70"/>
    </row>
    <row r="19" spans="2:8" ht="19.5" customHeight="1">
      <c r="B19" s="192" t="s">
        <v>99</v>
      </c>
      <c r="C19" s="167"/>
      <c r="D19" s="39">
        <v>22105.64</v>
      </c>
      <c r="E19" s="11"/>
      <c r="F19" s="70"/>
      <c r="G19" s="70"/>
      <c r="H19" s="70"/>
    </row>
    <row r="20" spans="2:8" ht="19.5" customHeight="1">
      <c r="B20" s="149" t="s">
        <v>96</v>
      </c>
      <c r="C20" s="148"/>
      <c r="D20" s="39">
        <v>2193.98</v>
      </c>
      <c r="E20" s="11"/>
      <c r="F20" s="70"/>
      <c r="G20" s="70"/>
      <c r="H20" s="70"/>
    </row>
    <row r="21" spans="2:8" ht="19.5" customHeight="1">
      <c r="B21" s="164" t="s">
        <v>32</v>
      </c>
      <c r="C21" s="165"/>
      <c r="D21" s="39">
        <f>504+1340.57</f>
        <v>1844.57</v>
      </c>
      <c r="E21" s="11"/>
      <c r="F21" s="70"/>
      <c r="G21" s="70"/>
      <c r="H21" s="70"/>
    </row>
    <row r="22" spans="2:8" ht="19.5" customHeight="1">
      <c r="B22" s="177" t="s">
        <v>38</v>
      </c>
      <c r="C22" s="178"/>
      <c r="D22" s="39">
        <v>9989.3799999999992</v>
      </c>
      <c r="E22" s="11"/>
      <c r="F22" s="70"/>
      <c r="G22" s="70"/>
      <c r="H22" s="70"/>
    </row>
    <row r="23" spans="2:8" ht="19.5" customHeight="1">
      <c r="B23" s="166" t="s">
        <v>152</v>
      </c>
      <c r="C23" s="217"/>
      <c r="D23" s="39">
        <v>4920</v>
      </c>
      <c r="E23" s="11"/>
      <c r="F23" s="70"/>
      <c r="G23" s="70"/>
      <c r="H23" s="70"/>
    </row>
    <row r="24" spans="2:8" ht="19.5" customHeight="1">
      <c r="B24" s="166" t="s">
        <v>33</v>
      </c>
      <c r="C24" s="167"/>
      <c r="D24" s="39">
        <v>437.56</v>
      </c>
      <c r="E24" s="13"/>
      <c r="F24" s="70"/>
      <c r="G24" s="70"/>
      <c r="H24" s="70"/>
    </row>
    <row r="25" spans="2:8" ht="19.5" customHeight="1" thickBot="1">
      <c r="B25" s="188" t="s">
        <v>110</v>
      </c>
      <c r="C25" s="189"/>
      <c r="D25" s="42">
        <v>1065.8</v>
      </c>
      <c r="E25" s="74"/>
      <c r="F25" s="70"/>
      <c r="G25" s="70"/>
      <c r="H25" s="70"/>
    </row>
    <row r="26" spans="2:8" ht="19.5" customHeight="1" thickBot="1">
      <c r="B26" s="193" t="s">
        <v>42</v>
      </c>
      <c r="C26" s="205"/>
      <c r="D26" s="40">
        <v>215.28</v>
      </c>
      <c r="E26" s="70"/>
      <c r="F26" s="70"/>
      <c r="G26" s="70"/>
      <c r="H26" s="70"/>
    </row>
    <row r="27" spans="2:8" ht="19.5" customHeight="1" thickBot="1">
      <c r="B27" s="193" t="s">
        <v>142</v>
      </c>
      <c r="C27" s="194"/>
      <c r="D27" s="40">
        <v>1352.85</v>
      </c>
      <c r="E27" s="70"/>
      <c r="F27" s="70"/>
      <c r="G27" s="70"/>
      <c r="H27" s="70"/>
    </row>
    <row r="28" spans="2:8" ht="19.5" customHeight="1">
      <c r="B28" s="171" t="s">
        <v>24</v>
      </c>
      <c r="C28" s="172"/>
      <c r="D28" s="38">
        <f>D29+D30+D31+D32+D33+D34+D35+D36+D37+D38</f>
        <v>110447.94</v>
      </c>
      <c r="E28" s="70"/>
      <c r="F28" s="70"/>
      <c r="G28" s="70"/>
      <c r="H28" s="70"/>
    </row>
    <row r="29" spans="2:8" ht="19.5" customHeight="1">
      <c r="B29" s="175" t="s">
        <v>139</v>
      </c>
      <c r="C29" s="176"/>
      <c r="D29" s="66">
        <v>57572.45</v>
      </c>
      <c r="E29" s="70"/>
      <c r="F29" s="70"/>
      <c r="G29" s="70"/>
      <c r="H29" s="70"/>
    </row>
    <row r="30" spans="2:8" ht="19.5" customHeight="1">
      <c r="B30" s="164" t="s">
        <v>99</v>
      </c>
      <c r="C30" s="168"/>
      <c r="D30" s="66">
        <v>11615.22</v>
      </c>
      <c r="E30" s="70"/>
      <c r="F30" s="70"/>
      <c r="G30" s="70"/>
      <c r="H30" s="70"/>
    </row>
    <row r="31" spans="2:8" ht="19.5" customHeight="1">
      <c r="B31" s="164" t="s">
        <v>108</v>
      </c>
      <c r="C31" s="168"/>
      <c r="D31" s="66">
        <v>19442.82</v>
      </c>
      <c r="E31" s="70"/>
      <c r="F31" s="70"/>
      <c r="G31" s="70"/>
      <c r="H31" s="70"/>
    </row>
    <row r="32" spans="2:8" ht="19.5" customHeight="1">
      <c r="B32" s="164" t="s">
        <v>102</v>
      </c>
      <c r="C32" s="168"/>
      <c r="D32" s="66">
        <v>1916.19</v>
      </c>
      <c r="E32" s="70"/>
      <c r="F32" s="70"/>
      <c r="G32" s="70"/>
      <c r="H32" s="70"/>
    </row>
    <row r="33" spans="2:8" ht="19.5" customHeight="1">
      <c r="B33" s="164" t="s">
        <v>1</v>
      </c>
      <c r="C33" s="168"/>
      <c r="D33" s="66">
        <v>4634.07</v>
      </c>
      <c r="E33" s="70"/>
      <c r="F33" s="70"/>
      <c r="G33" s="70"/>
      <c r="H33" s="70"/>
    </row>
    <row r="34" spans="2:8" ht="19.5" customHeight="1">
      <c r="B34" s="192" t="s">
        <v>103</v>
      </c>
      <c r="C34" s="167"/>
      <c r="D34" s="66">
        <v>1500.43</v>
      </c>
      <c r="E34" s="70"/>
      <c r="F34" s="70"/>
      <c r="G34" s="70"/>
      <c r="H34" s="70"/>
    </row>
    <row r="35" spans="2:8" ht="19.5" customHeight="1">
      <c r="B35" s="192" t="s">
        <v>0</v>
      </c>
      <c r="C35" s="167"/>
      <c r="D35" s="66">
        <f>699.16+456.3</f>
        <v>1155.46</v>
      </c>
      <c r="E35" s="70"/>
      <c r="F35" s="70"/>
      <c r="G35" s="70"/>
      <c r="H35" s="70"/>
    </row>
    <row r="36" spans="2:8" ht="19.5" customHeight="1">
      <c r="B36" s="192" t="s">
        <v>109</v>
      </c>
      <c r="C36" s="167"/>
      <c r="D36" s="66">
        <v>564.33000000000004</v>
      </c>
      <c r="E36" s="70"/>
      <c r="F36" s="70"/>
      <c r="G36" s="70"/>
      <c r="H36" s="70"/>
    </row>
    <row r="37" spans="2:8" ht="19.5" customHeight="1">
      <c r="B37" s="192" t="s">
        <v>13</v>
      </c>
      <c r="C37" s="167"/>
      <c r="D37" s="66">
        <v>1035.68</v>
      </c>
      <c r="E37" s="70"/>
      <c r="F37" s="70"/>
      <c r="G37" s="70"/>
      <c r="H37" s="70"/>
    </row>
    <row r="38" spans="2:8" ht="19.5" customHeight="1" thickBot="1">
      <c r="B38" s="206" t="s">
        <v>104</v>
      </c>
      <c r="C38" s="207"/>
      <c r="D38" s="81">
        <v>11011.29</v>
      </c>
      <c r="E38" s="70"/>
      <c r="F38" s="70"/>
      <c r="G38" s="70"/>
      <c r="H38" s="70"/>
    </row>
    <row r="39" spans="2:8" ht="19.5" customHeight="1" thickBot="1">
      <c r="B39" s="208" t="s">
        <v>98</v>
      </c>
      <c r="C39" s="232"/>
      <c r="D39" s="112">
        <f>D9+D14+D15+D26+D27+D28</f>
        <v>442846.07</v>
      </c>
      <c r="E39" s="92"/>
      <c r="F39" s="70"/>
      <c r="G39" s="70"/>
      <c r="H39" s="71"/>
    </row>
    <row r="40" spans="2:8" ht="3" customHeight="1">
      <c r="B40" s="230"/>
      <c r="C40" s="230"/>
      <c r="D40" s="32"/>
      <c r="E40" s="7"/>
      <c r="F40" s="7"/>
    </row>
    <row r="41" spans="2:8">
      <c r="B41" s="231"/>
      <c r="C41" s="231"/>
      <c r="D41" s="28"/>
      <c r="F41" s="7"/>
    </row>
    <row r="42" spans="2:8">
      <c r="F42" s="7"/>
    </row>
  </sheetData>
  <mergeCells count="40">
    <mergeCell ref="B40:C40"/>
    <mergeCell ref="B41:C41"/>
    <mergeCell ref="B32:C32"/>
    <mergeCell ref="B33:C33"/>
    <mergeCell ref="B35:C35"/>
    <mergeCell ref="B36:C36"/>
    <mergeCell ref="B37:C37"/>
    <mergeCell ref="B38:C38"/>
    <mergeCell ref="B34:C34"/>
    <mergeCell ref="B39:C39"/>
    <mergeCell ref="B31:C31"/>
    <mergeCell ref="B28:C28"/>
    <mergeCell ref="B29:C29"/>
    <mergeCell ref="B26:C26"/>
    <mergeCell ref="B8:C8"/>
    <mergeCell ref="B10:C10"/>
    <mergeCell ref="B12:C12"/>
    <mergeCell ref="B11:C11"/>
    <mergeCell ref="B21:C21"/>
    <mergeCell ref="B15:C15"/>
    <mergeCell ref="B16:C16"/>
    <mergeCell ref="B17:C17"/>
    <mergeCell ref="B19:C19"/>
    <mergeCell ref="B13:C13"/>
    <mergeCell ref="B14:C14"/>
    <mergeCell ref="B23:C23"/>
    <mergeCell ref="B1:D1"/>
    <mergeCell ref="B25:C25"/>
    <mergeCell ref="B30:C30"/>
    <mergeCell ref="B2:C2"/>
    <mergeCell ref="B3:C3"/>
    <mergeCell ref="B4:C4"/>
    <mergeCell ref="B5:C5"/>
    <mergeCell ref="B6:C6"/>
    <mergeCell ref="B7:C7"/>
    <mergeCell ref="B27:C27"/>
    <mergeCell ref="B9:C9"/>
    <mergeCell ref="B18:C18"/>
    <mergeCell ref="B24:C24"/>
    <mergeCell ref="B22:C22"/>
  </mergeCells>
  <pageMargins left="0.11811023622047245" right="0.11811023622047245" top="0.15748031496062992" bottom="0.15748031496062992" header="0" footer="0"/>
  <pageSetup paperSize="9" scale="9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4"/>
  <sheetViews>
    <sheetView topLeftCell="A10" workbookViewId="0">
      <selection activeCell="C20" sqref="C20"/>
    </sheetView>
  </sheetViews>
  <sheetFormatPr defaultRowHeight="15"/>
  <cols>
    <col min="1" max="1" width="6.28515625" customWidth="1"/>
    <col min="3" max="3" width="76" customWidth="1"/>
    <col min="4" max="4" width="15.5703125" customWidth="1"/>
    <col min="6" max="6" width="15" customWidth="1"/>
  </cols>
  <sheetData>
    <row r="1" spans="2:7" ht="35.25" customHeight="1" thickBot="1">
      <c r="B1" s="233" t="s">
        <v>147</v>
      </c>
      <c r="C1" s="234"/>
      <c r="D1" s="235"/>
    </row>
    <row r="2" spans="2:7" ht="19.5" customHeight="1" thickBot="1">
      <c r="B2" s="238" t="s">
        <v>43</v>
      </c>
      <c r="C2" s="239"/>
      <c r="D2" s="99" t="s">
        <v>23</v>
      </c>
    </row>
    <row r="3" spans="2:7" ht="19.5" customHeight="1">
      <c r="B3" s="246" t="s">
        <v>70</v>
      </c>
      <c r="C3" s="247"/>
      <c r="D3" s="145">
        <v>75018.009999999995</v>
      </c>
    </row>
    <row r="4" spans="2:7" ht="19.5" customHeight="1">
      <c r="B4" s="240" t="s">
        <v>49</v>
      </c>
      <c r="C4" s="241"/>
      <c r="D4" s="100">
        <v>611517.19999999995</v>
      </c>
    </row>
    <row r="5" spans="2:7" ht="19.5" customHeight="1">
      <c r="B5" s="240" t="s">
        <v>29</v>
      </c>
      <c r="C5" s="241"/>
      <c r="D5" s="100">
        <v>608513.96</v>
      </c>
    </row>
    <row r="6" spans="2:7" ht="19.5" customHeight="1" thickBot="1">
      <c r="B6" s="242" t="s">
        <v>71</v>
      </c>
      <c r="C6" s="243"/>
      <c r="D6" s="101">
        <f>D3+D4-D5</f>
        <v>78021.25</v>
      </c>
      <c r="E6" s="70"/>
      <c r="F6" s="70"/>
      <c r="G6" s="70"/>
    </row>
    <row r="7" spans="2:7" ht="19.5" customHeight="1" thickBot="1">
      <c r="B7" s="244" t="s">
        <v>97</v>
      </c>
      <c r="C7" s="245"/>
      <c r="D7" s="156">
        <f>D5</f>
        <v>608513.96</v>
      </c>
      <c r="E7" s="70"/>
      <c r="F7" s="70"/>
      <c r="G7" s="70"/>
    </row>
    <row r="8" spans="2:7" ht="19.5" customHeight="1" thickBot="1">
      <c r="B8" s="236" t="s">
        <v>44</v>
      </c>
      <c r="C8" s="237"/>
      <c r="D8" s="27" t="s">
        <v>23</v>
      </c>
      <c r="E8" s="85"/>
      <c r="F8" s="70"/>
      <c r="G8" s="70"/>
    </row>
    <row r="9" spans="2:7" ht="19.5" customHeight="1">
      <c r="B9" s="195" t="s">
        <v>143</v>
      </c>
      <c r="C9" s="196"/>
      <c r="D9" s="53">
        <f>D10+D11+D12+D13</f>
        <v>190145.69</v>
      </c>
      <c r="E9" s="85"/>
      <c r="F9" s="70"/>
      <c r="G9" s="70"/>
    </row>
    <row r="10" spans="2:7" ht="19.5" customHeight="1">
      <c r="B10" s="192" t="s">
        <v>2</v>
      </c>
      <c r="C10" s="167"/>
      <c r="D10" s="39">
        <v>148850</v>
      </c>
      <c r="E10" s="70"/>
      <c r="F10" s="70"/>
      <c r="G10" s="70"/>
    </row>
    <row r="11" spans="2:7" ht="19.5" customHeight="1">
      <c r="B11" s="164" t="s">
        <v>99</v>
      </c>
      <c r="C11" s="168"/>
      <c r="D11" s="39">
        <f>178917.71-D10</f>
        <v>30067.709999999992</v>
      </c>
      <c r="E11" s="70"/>
      <c r="F11" s="70"/>
      <c r="G11" s="70"/>
    </row>
    <row r="12" spans="2:7" ht="19.5" customHeight="1">
      <c r="B12" s="164" t="s">
        <v>105</v>
      </c>
      <c r="C12" s="165"/>
      <c r="D12" s="39">
        <v>3291.1</v>
      </c>
      <c r="E12" s="70"/>
      <c r="F12" s="70"/>
      <c r="G12" s="70"/>
    </row>
    <row r="13" spans="2:7" ht="19.5" customHeight="1" thickBot="1">
      <c r="B13" s="188" t="s">
        <v>72</v>
      </c>
      <c r="C13" s="189"/>
      <c r="D13" s="39">
        <v>7936.88</v>
      </c>
      <c r="E13" s="70"/>
      <c r="F13" s="70"/>
      <c r="G13" s="70"/>
    </row>
    <row r="14" spans="2:7" ht="19.5" customHeight="1" thickBot="1">
      <c r="B14" s="169" t="s">
        <v>4</v>
      </c>
      <c r="C14" s="170"/>
      <c r="D14" s="40">
        <v>50627.94</v>
      </c>
      <c r="E14" s="70"/>
      <c r="F14" s="70"/>
      <c r="G14" s="70"/>
    </row>
    <row r="15" spans="2:7" ht="19.5" customHeight="1">
      <c r="B15" s="171" t="s">
        <v>14</v>
      </c>
      <c r="C15" s="172"/>
      <c r="D15" s="53">
        <f>D16+D17+D18+D19+D21+D22+D23+D24+D25+D26+D27+D28+D20</f>
        <v>248442.14000000004</v>
      </c>
      <c r="E15" s="70"/>
      <c r="F15" s="70"/>
      <c r="G15" s="70"/>
    </row>
    <row r="16" spans="2:7" ht="19.5" customHeight="1">
      <c r="B16" s="175" t="s">
        <v>112</v>
      </c>
      <c r="C16" s="176"/>
      <c r="D16" s="72">
        <f>25769.72-D12-3820.85-D17</f>
        <v>16812.020000000004</v>
      </c>
      <c r="E16" s="70"/>
      <c r="F16" s="71"/>
      <c r="G16" s="70"/>
    </row>
    <row r="17" spans="2:7" ht="19.5" customHeight="1">
      <c r="B17" s="223" t="s">
        <v>5</v>
      </c>
      <c r="C17" s="224"/>
      <c r="D17" s="73">
        <v>1845.75</v>
      </c>
      <c r="E17" s="70"/>
      <c r="F17" s="71"/>
      <c r="G17" s="70"/>
    </row>
    <row r="18" spans="2:7" ht="19.5" customHeight="1">
      <c r="B18" s="212" t="s">
        <v>117</v>
      </c>
      <c r="C18" s="213"/>
      <c r="D18" s="41">
        <v>145550.32</v>
      </c>
      <c r="E18" s="70"/>
      <c r="F18" s="70"/>
      <c r="G18" s="70"/>
    </row>
    <row r="19" spans="2:7" ht="19.5" customHeight="1">
      <c r="B19" s="192" t="s">
        <v>99</v>
      </c>
      <c r="C19" s="167"/>
      <c r="D19" s="39">
        <v>29293.75</v>
      </c>
      <c r="E19" s="70"/>
      <c r="F19" s="70"/>
      <c r="G19" s="70"/>
    </row>
    <row r="20" spans="2:7" ht="19.5" customHeight="1">
      <c r="B20" s="149" t="s">
        <v>96</v>
      </c>
      <c r="C20" s="148"/>
      <c r="D20" s="39">
        <v>2906.56</v>
      </c>
      <c r="E20" s="70"/>
      <c r="F20" s="70"/>
      <c r="G20" s="70"/>
    </row>
    <row r="21" spans="2:7" ht="19.5" customHeight="1">
      <c r="B21" s="164" t="s">
        <v>32</v>
      </c>
      <c r="C21" s="165"/>
      <c r="D21" s="39">
        <f>3720.85+100+1775.97</f>
        <v>5596.82</v>
      </c>
      <c r="E21" s="70"/>
      <c r="F21" s="70"/>
      <c r="G21" s="70"/>
    </row>
    <row r="22" spans="2:7" ht="19.5" customHeight="1">
      <c r="B22" s="166" t="s">
        <v>19</v>
      </c>
      <c r="C22" s="248"/>
      <c r="D22" s="39">
        <v>13233.79</v>
      </c>
      <c r="E22" s="70"/>
      <c r="F22" s="70"/>
      <c r="G22" s="70"/>
    </row>
    <row r="23" spans="2:7" ht="19.5" customHeight="1">
      <c r="B23" s="166" t="s">
        <v>33</v>
      </c>
      <c r="C23" s="167"/>
      <c r="D23" s="39">
        <v>579.66999999999996</v>
      </c>
      <c r="E23" s="70"/>
      <c r="F23" s="70"/>
      <c r="G23" s="70"/>
    </row>
    <row r="24" spans="2:7" ht="19.5" customHeight="1">
      <c r="B24" s="166" t="s">
        <v>41</v>
      </c>
      <c r="C24" s="217"/>
      <c r="D24" s="39">
        <v>1051.5</v>
      </c>
      <c r="E24" s="70"/>
      <c r="F24" s="70"/>
      <c r="G24" s="70"/>
    </row>
    <row r="25" spans="2:7" ht="19.5" customHeight="1">
      <c r="B25" s="164" t="s">
        <v>73</v>
      </c>
      <c r="C25" s="165"/>
      <c r="D25" s="39">
        <v>4000</v>
      </c>
      <c r="E25" s="70"/>
      <c r="F25" s="70"/>
      <c r="G25" s="70"/>
    </row>
    <row r="26" spans="2:7" ht="19.5" customHeight="1">
      <c r="B26" s="164" t="s">
        <v>74</v>
      </c>
      <c r="C26" s="165"/>
      <c r="D26" s="39">
        <v>12000</v>
      </c>
      <c r="E26" s="70"/>
      <c r="F26" s="70"/>
      <c r="G26" s="70"/>
    </row>
    <row r="27" spans="2:7" ht="19.5" customHeight="1">
      <c r="B27" s="166" t="s">
        <v>152</v>
      </c>
      <c r="C27" s="217"/>
      <c r="D27" s="39">
        <v>14160</v>
      </c>
      <c r="E27" s="70"/>
      <c r="F27" s="70"/>
      <c r="G27" s="70"/>
    </row>
    <row r="28" spans="2:7" ht="19.5" customHeight="1" thickBot="1">
      <c r="B28" s="173" t="s">
        <v>110</v>
      </c>
      <c r="C28" s="174"/>
      <c r="D28" s="39">
        <v>1411.96</v>
      </c>
      <c r="E28" s="70"/>
      <c r="F28" s="70"/>
      <c r="G28" s="70"/>
    </row>
    <row r="29" spans="2:7" ht="19.5" customHeight="1" thickBot="1">
      <c r="B29" s="193" t="s">
        <v>42</v>
      </c>
      <c r="C29" s="205"/>
      <c r="D29" s="44">
        <v>285.2</v>
      </c>
      <c r="E29" s="70"/>
      <c r="F29" s="70"/>
      <c r="G29" s="70"/>
    </row>
    <row r="30" spans="2:7" ht="19.5" customHeight="1" thickBot="1">
      <c r="B30" s="193" t="s">
        <v>144</v>
      </c>
      <c r="C30" s="194"/>
      <c r="D30" s="40">
        <v>1792.23</v>
      </c>
      <c r="E30" s="70"/>
      <c r="F30" s="70"/>
      <c r="G30" s="70"/>
    </row>
    <row r="31" spans="2:7" ht="19.5" customHeight="1">
      <c r="B31" s="171" t="s">
        <v>31</v>
      </c>
      <c r="C31" s="172"/>
      <c r="D31" s="38">
        <f>D32+D33+D34+D35+D36+D37+D38+D39+D40+D41</f>
        <v>145735.38</v>
      </c>
      <c r="E31" s="70"/>
      <c r="F31" s="70"/>
      <c r="G31" s="70"/>
    </row>
    <row r="32" spans="2:7" ht="19.5" customHeight="1">
      <c r="B32" s="175" t="s">
        <v>139</v>
      </c>
      <c r="C32" s="176"/>
      <c r="D32" s="66">
        <v>76271.19</v>
      </c>
      <c r="E32" s="70"/>
      <c r="F32" s="70"/>
      <c r="G32" s="70"/>
    </row>
    <row r="33" spans="2:7" ht="19.5" customHeight="1">
      <c r="B33" s="164" t="s">
        <v>99</v>
      </c>
      <c r="C33" s="168"/>
      <c r="D33" s="66">
        <v>15387.69</v>
      </c>
      <c r="E33" s="70"/>
      <c r="F33" s="70"/>
      <c r="G33" s="70"/>
    </row>
    <row r="34" spans="2:7" ht="19.5" customHeight="1">
      <c r="B34" s="164" t="s">
        <v>101</v>
      </c>
      <c r="C34" s="168"/>
      <c r="D34" s="66">
        <v>25757.59</v>
      </c>
      <c r="E34" s="70"/>
      <c r="F34" s="70"/>
      <c r="G34" s="70"/>
    </row>
    <row r="35" spans="2:7" ht="19.5" customHeight="1">
      <c r="B35" s="164" t="s">
        <v>107</v>
      </c>
      <c r="C35" s="168"/>
      <c r="D35" s="66">
        <v>2538.54</v>
      </c>
      <c r="E35" s="70"/>
      <c r="F35" s="70"/>
      <c r="G35" s="70"/>
    </row>
    <row r="36" spans="2:7" ht="19.5" customHeight="1">
      <c r="B36" s="164" t="s">
        <v>1</v>
      </c>
      <c r="C36" s="168"/>
      <c r="D36" s="66">
        <v>6139.15</v>
      </c>
      <c r="E36" s="70"/>
      <c r="F36" s="70"/>
      <c r="G36" s="70"/>
    </row>
    <row r="37" spans="2:7" ht="19.5" customHeight="1">
      <c r="B37" s="192" t="s">
        <v>103</v>
      </c>
      <c r="C37" s="167"/>
      <c r="D37" s="66">
        <v>1987.75</v>
      </c>
      <c r="E37" s="70"/>
      <c r="F37" s="70"/>
      <c r="G37" s="70"/>
    </row>
    <row r="38" spans="2:7" ht="19.5" customHeight="1">
      <c r="B38" s="192" t="s">
        <v>0</v>
      </c>
      <c r="C38" s="167"/>
      <c r="D38" s="66">
        <f>341.68+604.5</f>
        <v>946.18000000000006</v>
      </c>
      <c r="E38" s="70"/>
      <c r="F38" s="70"/>
      <c r="G38" s="70"/>
    </row>
    <row r="39" spans="2:7" ht="19.5" customHeight="1">
      <c r="B39" s="192" t="s">
        <v>109</v>
      </c>
      <c r="C39" s="167"/>
      <c r="D39" s="66">
        <v>747.62</v>
      </c>
      <c r="E39" s="70"/>
      <c r="F39" s="70"/>
      <c r="G39" s="70"/>
    </row>
    <row r="40" spans="2:7" ht="19.5" customHeight="1">
      <c r="B40" s="192" t="s">
        <v>13</v>
      </c>
      <c r="C40" s="167"/>
      <c r="D40" s="66">
        <v>1372.06</v>
      </c>
      <c r="E40" s="70"/>
      <c r="F40" s="70"/>
      <c r="G40" s="70"/>
    </row>
    <row r="41" spans="2:7" ht="19.5" customHeight="1" thickBot="1">
      <c r="B41" s="206" t="s">
        <v>104</v>
      </c>
      <c r="C41" s="207"/>
      <c r="D41" s="81">
        <v>14587.61</v>
      </c>
      <c r="E41" s="70"/>
      <c r="F41" s="70"/>
      <c r="G41" s="70"/>
    </row>
    <row r="42" spans="2:7" ht="19.5" customHeight="1" thickBot="1">
      <c r="B42" s="208" t="s">
        <v>98</v>
      </c>
      <c r="C42" s="232"/>
      <c r="D42" s="113">
        <f>D9+D14+D15+D29+D30+D31</f>
        <v>637028.58000000007</v>
      </c>
      <c r="E42" s="70"/>
      <c r="F42" s="71"/>
      <c r="G42" s="70"/>
    </row>
    <row r="44" spans="2:7">
      <c r="D44" s="4"/>
    </row>
  </sheetData>
  <mergeCells count="41">
    <mergeCell ref="B42:C42"/>
    <mergeCell ref="B29:C29"/>
    <mergeCell ref="B30:C30"/>
    <mergeCell ref="B31:C31"/>
    <mergeCell ref="B32:C32"/>
    <mergeCell ref="B33:C33"/>
    <mergeCell ref="B34:C34"/>
    <mergeCell ref="B40:C40"/>
    <mergeCell ref="B41:C41"/>
    <mergeCell ref="B35:C35"/>
    <mergeCell ref="B36:C36"/>
    <mergeCell ref="B37:C37"/>
    <mergeCell ref="B38:C38"/>
    <mergeCell ref="B39:C39"/>
    <mergeCell ref="B21:C21"/>
    <mergeCell ref="B22:C22"/>
    <mergeCell ref="B23:C23"/>
    <mergeCell ref="B28:C28"/>
    <mergeCell ref="B15:C15"/>
    <mergeCell ref="B16:C16"/>
    <mergeCell ref="B17:C17"/>
    <mergeCell ref="B18:C18"/>
    <mergeCell ref="B19:C19"/>
    <mergeCell ref="B24:C24"/>
    <mergeCell ref="B27:C27"/>
    <mergeCell ref="B25:C25"/>
    <mergeCell ref="B26:C26"/>
    <mergeCell ref="B14:C14"/>
    <mergeCell ref="B10:C10"/>
    <mergeCell ref="B12:C12"/>
    <mergeCell ref="B1:D1"/>
    <mergeCell ref="B8:C8"/>
    <mergeCell ref="B9:C9"/>
    <mergeCell ref="B11:C11"/>
    <mergeCell ref="B13:C13"/>
    <mergeCell ref="B2:C2"/>
    <mergeCell ref="B4:C4"/>
    <mergeCell ref="B5:C5"/>
    <mergeCell ref="B6:C6"/>
    <mergeCell ref="B7:C7"/>
    <mergeCell ref="B3:C3"/>
  </mergeCells>
  <pageMargins left="0" right="0" top="0.19685039370078741" bottom="0.19685039370078741" header="0" footer="0"/>
  <pageSetup paperSize="9" scale="9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1"/>
  <sheetViews>
    <sheetView topLeftCell="A10" workbookViewId="0">
      <selection activeCell="B23" sqref="B23:C23"/>
    </sheetView>
  </sheetViews>
  <sheetFormatPr defaultRowHeight="15"/>
  <cols>
    <col min="1" max="1" width="4.140625" customWidth="1"/>
    <col min="3" max="3" width="79" customWidth="1"/>
    <col min="4" max="4" width="14.7109375" customWidth="1"/>
    <col min="5" max="5" width="6.28515625" customWidth="1"/>
    <col min="6" max="6" width="9.5703125" bestFit="1" customWidth="1"/>
    <col min="7" max="7" width="17.7109375" customWidth="1"/>
    <col min="8" max="8" width="18" customWidth="1"/>
  </cols>
  <sheetData>
    <row r="1" spans="2:8" ht="36.75" customHeight="1" thickBot="1">
      <c r="B1" s="199" t="s">
        <v>148</v>
      </c>
      <c r="C1" s="200"/>
      <c r="D1" s="201"/>
      <c r="E1" s="120"/>
    </row>
    <row r="2" spans="2:8" ht="18.75" customHeight="1" thickBot="1">
      <c r="B2" s="218" t="s">
        <v>51</v>
      </c>
      <c r="C2" s="218"/>
      <c r="D2" s="55" t="s">
        <v>23</v>
      </c>
      <c r="E2" s="2"/>
    </row>
    <row r="3" spans="2:8" s="61" customFormat="1" ht="18.75" customHeight="1">
      <c r="B3" s="219" t="s">
        <v>58</v>
      </c>
      <c r="C3" s="219"/>
      <c r="D3" s="147">
        <v>21215.22</v>
      </c>
      <c r="E3" s="34"/>
    </row>
    <row r="4" spans="2:8" s="61" customFormat="1" ht="18.75" customHeight="1">
      <c r="B4" s="220" t="s">
        <v>49</v>
      </c>
      <c r="C4" s="220"/>
      <c r="D4" s="62">
        <v>223649.28</v>
      </c>
    </row>
    <row r="5" spans="2:8" s="61" customFormat="1" ht="18.75" customHeight="1">
      <c r="B5" s="220" t="s">
        <v>29</v>
      </c>
      <c r="C5" s="220"/>
      <c r="D5" s="62">
        <v>217046.33</v>
      </c>
    </row>
    <row r="6" spans="2:8" s="61" customFormat="1" ht="18.75" customHeight="1" thickBot="1">
      <c r="B6" s="222" t="s">
        <v>59</v>
      </c>
      <c r="C6" s="222"/>
      <c r="D6" s="63">
        <f>D3+D4-D5</f>
        <v>27818.170000000013</v>
      </c>
    </row>
    <row r="7" spans="2:8" ht="18.75" customHeight="1" thickBot="1">
      <c r="B7" s="244" t="s">
        <v>97</v>
      </c>
      <c r="C7" s="245"/>
      <c r="D7" s="157">
        <f>D5</f>
        <v>217046.33</v>
      </c>
      <c r="E7" s="2"/>
    </row>
    <row r="8" spans="2:8" ht="18.75" customHeight="1" thickBot="1">
      <c r="B8" s="249" t="s">
        <v>44</v>
      </c>
      <c r="C8" s="250"/>
      <c r="D8" s="56" t="s">
        <v>23</v>
      </c>
      <c r="E8" s="2"/>
    </row>
    <row r="9" spans="2:8" s="61" customFormat="1" ht="18.75" customHeight="1">
      <c r="B9" s="195" t="s">
        <v>8</v>
      </c>
      <c r="C9" s="196"/>
      <c r="D9" s="57">
        <f>D10+D11+D12</f>
        <v>84637.32</v>
      </c>
      <c r="E9" s="86"/>
      <c r="F9" s="86"/>
      <c r="G9" s="86"/>
      <c r="H9" s="86"/>
    </row>
    <row r="10" spans="2:8" s="61" customFormat="1" ht="18.75" customHeight="1">
      <c r="B10" s="192" t="s">
        <v>2</v>
      </c>
      <c r="C10" s="167"/>
      <c r="D10" s="58">
        <v>69561</v>
      </c>
      <c r="E10" s="86"/>
      <c r="F10" s="86"/>
      <c r="G10" s="86"/>
      <c r="H10" s="86"/>
    </row>
    <row r="11" spans="2:8" s="61" customFormat="1" ht="18.75" customHeight="1">
      <c r="B11" s="164" t="s">
        <v>111</v>
      </c>
      <c r="C11" s="168"/>
      <c r="D11" s="58">
        <f>83612.32-D10</f>
        <v>14051.320000000007</v>
      </c>
      <c r="E11" s="86"/>
      <c r="F11" s="86"/>
      <c r="G11" s="86"/>
      <c r="H11" s="86"/>
    </row>
    <row r="12" spans="2:8" s="61" customFormat="1" ht="18.75" customHeight="1" thickBot="1">
      <c r="B12" s="188" t="s">
        <v>105</v>
      </c>
      <c r="C12" s="189"/>
      <c r="D12" s="58">
        <v>1025</v>
      </c>
      <c r="E12" s="86"/>
      <c r="F12" s="86"/>
      <c r="G12" s="86"/>
      <c r="H12" s="86"/>
    </row>
    <row r="13" spans="2:8" s="61" customFormat="1" ht="18.75" customHeight="1" thickBot="1">
      <c r="B13" s="214" t="s">
        <v>4</v>
      </c>
      <c r="C13" s="251"/>
      <c r="D13" s="59">
        <v>13963.56</v>
      </c>
      <c r="E13" s="86"/>
      <c r="F13" s="86"/>
      <c r="G13" s="86"/>
      <c r="H13" s="86"/>
    </row>
    <row r="14" spans="2:8" s="61" customFormat="1" ht="18.75" customHeight="1">
      <c r="B14" s="171" t="s">
        <v>14</v>
      </c>
      <c r="C14" s="172"/>
      <c r="D14" s="57">
        <f>D15+D16+D17+D18+D19+D21+D24+D22+D23+D25+D20</f>
        <v>97526.839999999982</v>
      </c>
      <c r="E14" s="86"/>
      <c r="F14" s="86"/>
      <c r="G14" s="86"/>
      <c r="H14" s="86"/>
    </row>
    <row r="15" spans="2:8" s="61" customFormat="1" ht="18.75" customHeight="1">
      <c r="B15" s="175" t="s">
        <v>112</v>
      </c>
      <c r="C15" s="176"/>
      <c r="D15" s="87">
        <f>12435.85-100-D12-D16</f>
        <v>11138</v>
      </c>
      <c r="E15" s="86"/>
      <c r="F15" s="86"/>
      <c r="G15" s="86"/>
      <c r="H15" s="86"/>
    </row>
    <row r="16" spans="2:8" s="61" customFormat="1" ht="16.5" customHeight="1">
      <c r="B16" s="223" t="s">
        <v>5</v>
      </c>
      <c r="C16" s="224"/>
      <c r="D16" s="88">
        <v>172.85</v>
      </c>
      <c r="E16" s="86"/>
      <c r="F16" s="86"/>
      <c r="G16" s="89"/>
      <c r="H16" s="86"/>
    </row>
    <row r="17" spans="2:8" s="61" customFormat="1" ht="18.75" customHeight="1">
      <c r="B17" s="212" t="s">
        <v>113</v>
      </c>
      <c r="C17" s="213"/>
      <c r="D17" s="60">
        <v>53315.71</v>
      </c>
      <c r="E17" s="86"/>
      <c r="F17" s="86"/>
      <c r="G17" s="89"/>
      <c r="H17" s="86"/>
    </row>
    <row r="18" spans="2:8" s="61" customFormat="1" ht="16.5" customHeight="1">
      <c r="B18" s="192" t="s">
        <v>111</v>
      </c>
      <c r="C18" s="167"/>
      <c r="D18" s="58">
        <v>10730.43</v>
      </c>
      <c r="E18" s="86"/>
      <c r="F18" s="86"/>
      <c r="G18" s="86"/>
      <c r="H18" s="86"/>
    </row>
    <row r="19" spans="2:8" s="61" customFormat="1" ht="18.75" customHeight="1">
      <c r="B19" s="164" t="s">
        <v>32</v>
      </c>
      <c r="C19" s="165"/>
      <c r="D19" s="58">
        <f>100+647.37</f>
        <v>747.37</v>
      </c>
      <c r="E19" s="86"/>
      <c r="F19" s="86"/>
      <c r="G19" s="86"/>
      <c r="H19" s="86"/>
    </row>
    <row r="20" spans="2:8" s="61" customFormat="1" ht="18.75" customHeight="1">
      <c r="B20" s="149" t="s">
        <v>96</v>
      </c>
      <c r="C20" s="148"/>
      <c r="D20" s="58">
        <v>1059.49</v>
      </c>
      <c r="E20" s="86"/>
      <c r="F20" s="86"/>
      <c r="G20" s="86"/>
      <c r="H20" s="86"/>
    </row>
    <row r="21" spans="2:8" s="61" customFormat="1" ht="18.75" customHeight="1">
      <c r="B21" s="166" t="s">
        <v>19</v>
      </c>
      <c r="C21" s="248"/>
      <c r="D21" s="58">
        <v>4823.93</v>
      </c>
      <c r="E21" s="86"/>
      <c r="F21" s="86"/>
      <c r="G21" s="86"/>
      <c r="H21" s="86"/>
    </row>
    <row r="22" spans="2:8" s="61" customFormat="1" ht="18.75" customHeight="1">
      <c r="B22" s="166" t="s">
        <v>21</v>
      </c>
      <c r="C22" s="217"/>
      <c r="D22" s="58">
        <v>12413.08</v>
      </c>
      <c r="E22" s="86"/>
      <c r="F22" s="86"/>
      <c r="G22" s="86"/>
      <c r="H22" s="86"/>
    </row>
    <row r="23" spans="2:8" s="61" customFormat="1" ht="18.75" customHeight="1">
      <c r="B23" s="166" t="s">
        <v>152</v>
      </c>
      <c r="C23" s="217"/>
      <c r="D23" s="58">
        <v>2400</v>
      </c>
      <c r="E23" s="86"/>
      <c r="F23" s="86"/>
      <c r="G23" s="86"/>
      <c r="H23" s="86"/>
    </row>
    <row r="24" spans="2:8" s="61" customFormat="1" ht="18.75" customHeight="1">
      <c r="B24" s="166" t="s">
        <v>33</v>
      </c>
      <c r="C24" s="167"/>
      <c r="D24" s="58">
        <v>211.3</v>
      </c>
      <c r="E24" s="86"/>
      <c r="F24" s="86"/>
      <c r="G24" s="86"/>
      <c r="H24" s="86"/>
    </row>
    <row r="25" spans="2:8" s="61" customFormat="1" ht="18.75" customHeight="1" thickBot="1">
      <c r="B25" s="175" t="s">
        <v>114</v>
      </c>
      <c r="C25" s="176"/>
      <c r="D25" s="58">
        <v>514.67999999999995</v>
      </c>
      <c r="E25" s="86"/>
      <c r="F25" s="86"/>
      <c r="G25" s="86"/>
      <c r="H25" s="86"/>
    </row>
    <row r="26" spans="2:8" s="61" customFormat="1" ht="18.75" customHeight="1" thickBot="1">
      <c r="B26" s="193" t="s">
        <v>42</v>
      </c>
      <c r="C26" s="205"/>
      <c r="D26" s="90">
        <v>103.96</v>
      </c>
      <c r="E26" s="86"/>
      <c r="F26" s="86"/>
      <c r="G26" s="86"/>
      <c r="H26" s="86"/>
    </row>
    <row r="27" spans="2:8" s="61" customFormat="1" ht="18.75" customHeight="1" thickBot="1">
      <c r="B27" s="193" t="s">
        <v>142</v>
      </c>
      <c r="C27" s="194"/>
      <c r="D27" s="59">
        <v>653.29999999999995</v>
      </c>
      <c r="E27" s="86"/>
      <c r="F27" s="86"/>
      <c r="G27" s="86"/>
      <c r="H27" s="86"/>
    </row>
    <row r="28" spans="2:8" s="61" customFormat="1" ht="18.75" customHeight="1">
      <c r="B28" s="171" t="s">
        <v>31</v>
      </c>
      <c r="C28" s="172"/>
      <c r="D28" s="115">
        <f>D29+D30+D31+D32+D33+D34+D35+D36+D37+D38</f>
        <v>52998.359999999986</v>
      </c>
      <c r="E28" s="86"/>
      <c r="F28" s="86"/>
      <c r="G28" s="86"/>
      <c r="H28" s="86"/>
    </row>
    <row r="29" spans="2:8" s="61" customFormat="1" ht="18.75" customHeight="1">
      <c r="B29" s="175" t="s">
        <v>139</v>
      </c>
      <c r="C29" s="176"/>
      <c r="D29" s="116">
        <v>27802.080000000002</v>
      </c>
      <c r="E29" s="86"/>
      <c r="F29" s="86"/>
      <c r="G29" s="86"/>
      <c r="H29" s="86"/>
    </row>
    <row r="30" spans="2:8" s="61" customFormat="1" ht="17.25" customHeight="1">
      <c r="B30" s="164" t="s">
        <v>111</v>
      </c>
      <c r="C30" s="168"/>
      <c r="D30" s="116">
        <v>5609.06</v>
      </c>
      <c r="E30" s="86"/>
      <c r="F30" s="86"/>
      <c r="G30" s="86"/>
      <c r="H30" s="86"/>
    </row>
    <row r="31" spans="2:8" s="61" customFormat="1" ht="18.75" customHeight="1">
      <c r="B31" s="164" t="s">
        <v>101</v>
      </c>
      <c r="C31" s="168"/>
      <c r="D31" s="116">
        <v>9389.06</v>
      </c>
      <c r="E31" s="86"/>
      <c r="F31" s="86"/>
      <c r="G31" s="86"/>
      <c r="H31" s="86"/>
    </row>
    <row r="32" spans="2:8" s="61" customFormat="1" ht="16.5" customHeight="1">
      <c r="B32" s="164" t="s">
        <v>102</v>
      </c>
      <c r="C32" s="168"/>
      <c r="D32" s="116">
        <v>925.34</v>
      </c>
      <c r="E32" s="86"/>
      <c r="F32" s="86"/>
      <c r="G32" s="86"/>
      <c r="H32" s="86"/>
    </row>
    <row r="33" spans="2:8" s="61" customFormat="1" ht="18.75" customHeight="1">
      <c r="B33" s="164" t="s">
        <v>1</v>
      </c>
      <c r="C33" s="168"/>
      <c r="D33" s="116">
        <v>2237.8200000000002</v>
      </c>
      <c r="E33" s="86"/>
      <c r="F33" s="86"/>
      <c r="G33" s="86"/>
      <c r="H33" s="86"/>
    </row>
    <row r="34" spans="2:8" s="61" customFormat="1" ht="18.75" customHeight="1">
      <c r="B34" s="192" t="s">
        <v>103</v>
      </c>
      <c r="C34" s="167"/>
      <c r="D34" s="116">
        <v>724.57</v>
      </c>
      <c r="E34" s="86"/>
      <c r="F34" s="86"/>
      <c r="G34" s="86"/>
      <c r="H34" s="86"/>
    </row>
    <row r="35" spans="2:8" s="61" customFormat="1" ht="18.75" customHeight="1">
      <c r="B35" s="192" t="s">
        <v>0</v>
      </c>
      <c r="C35" s="167"/>
      <c r="D35" s="116">
        <v>220.35</v>
      </c>
      <c r="E35" s="86"/>
      <c r="F35" s="86"/>
      <c r="G35" s="86"/>
      <c r="H35" s="86"/>
    </row>
    <row r="36" spans="2:8" s="61" customFormat="1" ht="18.75" customHeight="1">
      <c r="B36" s="192" t="s">
        <v>109</v>
      </c>
      <c r="C36" s="167"/>
      <c r="D36" s="116">
        <v>272.52</v>
      </c>
      <c r="E36" s="86"/>
      <c r="F36" s="86"/>
      <c r="G36" s="86"/>
      <c r="H36" s="86"/>
    </row>
    <row r="37" spans="2:8" s="61" customFormat="1" ht="18.75" customHeight="1">
      <c r="B37" s="192" t="s">
        <v>13</v>
      </c>
      <c r="C37" s="167"/>
      <c r="D37" s="116">
        <v>500.14</v>
      </c>
      <c r="E37" s="86"/>
      <c r="F37" s="86"/>
      <c r="G37" s="86"/>
      <c r="H37" s="86"/>
    </row>
    <row r="38" spans="2:8" s="61" customFormat="1" ht="18.75" customHeight="1" thickBot="1">
      <c r="B38" s="206" t="s">
        <v>104</v>
      </c>
      <c r="C38" s="207"/>
      <c r="D38" s="117">
        <v>5317.42</v>
      </c>
      <c r="E38" s="86"/>
      <c r="F38" s="86"/>
      <c r="G38" s="86"/>
      <c r="H38" s="86"/>
    </row>
    <row r="39" spans="2:8" ht="18.75" customHeight="1" thickBot="1">
      <c r="B39" s="208" t="s">
        <v>98</v>
      </c>
      <c r="C39" s="232"/>
      <c r="D39" s="112">
        <f>D9+D13+D14+D26+D27+D28</f>
        <v>249883.33999999994</v>
      </c>
      <c r="E39" s="70"/>
      <c r="F39" s="70"/>
      <c r="G39" s="71"/>
      <c r="H39" s="70"/>
    </row>
    <row r="40" spans="2:8">
      <c r="B40" s="230"/>
      <c r="C40" s="230"/>
      <c r="D40" s="91"/>
      <c r="E40" s="70"/>
      <c r="F40" s="70"/>
      <c r="G40" s="70"/>
      <c r="H40" s="70"/>
    </row>
    <row r="41" spans="2:8">
      <c r="B41" s="231"/>
      <c r="C41" s="231"/>
      <c r="D41" s="28"/>
    </row>
  </sheetData>
  <mergeCells count="40">
    <mergeCell ref="B27:C27"/>
    <mergeCell ref="B28:C28"/>
    <mergeCell ref="B29:C29"/>
    <mergeCell ref="B30:C30"/>
    <mergeCell ref="B31:C31"/>
    <mergeCell ref="B32:C32"/>
    <mergeCell ref="B33:C33"/>
    <mergeCell ref="B34:C34"/>
    <mergeCell ref="B41:C41"/>
    <mergeCell ref="B35:C35"/>
    <mergeCell ref="B36:C36"/>
    <mergeCell ref="B37:C37"/>
    <mergeCell ref="B38:C38"/>
    <mergeCell ref="B39:C39"/>
    <mergeCell ref="B40:C40"/>
    <mergeCell ref="B19:C19"/>
    <mergeCell ref="B21:C21"/>
    <mergeCell ref="B26:C26"/>
    <mergeCell ref="B14:C14"/>
    <mergeCell ref="B16:C16"/>
    <mergeCell ref="B24:C24"/>
    <mergeCell ref="B22:C22"/>
    <mergeCell ref="B23:C23"/>
    <mergeCell ref="B25:C25"/>
    <mergeCell ref="B12:C12"/>
    <mergeCell ref="B13:C13"/>
    <mergeCell ref="B15:C15"/>
    <mergeCell ref="B17:C17"/>
    <mergeCell ref="B18:C18"/>
    <mergeCell ref="B10:C10"/>
    <mergeCell ref="B11:C11"/>
    <mergeCell ref="B3:C3"/>
    <mergeCell ref="B4:C4"/>
    <mergeCell ref="B5:C5"/>
    <mergeCell ref="B6:C6"/>
    <mergeCell ref="B2:C2"/>
    <mergeCell ref="B7:C7"/>
    <mergeCell ref="B1:D1"/>
    <mergeCell ref="B9:C9"/>
    <mergeCell ref="B8:C8"/>
  </mergeCells>
  <pageMargins left="0.11811023622047245" right="0.11811023622047245" top="0.15748031496062992" bottom="0.15748031496062992" header="0" footer="0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7"/>
  <sheetViews>
    <sheetView topLeftCell="A10" workbookViewId="0">
      <selection activeCell="B30" sqref="B30:C30"/>
    </sheetView>
  </sheetViews>
  <sheetFormatPr defaultRowHeight="15"/>
  <cols>
    <col min="1" max="1" width="4.7109375" customWidth="1"/>
    <col min="3" max="3" width="73" customWidth="1"/>
    <col min="4" max="4" width="17" customWidth="1"/>
    <col min="5" max="5" width="12.28515625" customWidth="1"/>
    <col min="6" max="6" width="10.7109375" bestFit="1" customWidth="1"/>
    <col min="7" max="7" width="15.42578125" customWidth="1"/>
    <col min="8" max="8" width="0.28515625" hidden="1" customWidth="1"/>
    <col min="13" max="13" width="24.28515625" customWidth="1"/>
    <col min="14" max="14" width="51.28515625" customWidth="1"/>
    <col min="16" max="16" width="10.7109375" bestFit="1" customWidth="1"/>
  </cols>
  <sheetData>
    <row r="1" spans="2:18" ht="2.25" customHeight="1" thickBot="1"/>
    <row r="2" spans="2:18" s="22" customFormat="1" ht="32.25" customHeight="1" thickBot="1">
      <c r="B2" s="252" t="s">
        <v>149</v>
      </c>
      <c r="C2" s="253"/>
      <c r="D2" s="254"/>
      <c r="E2" s="109"/>
      <c r="F2" s="24"/>
      <c r="G2" s="24"/>
      <c r="H2" s="23"/>
      <c r="L2" s="110"/>
      <c r="M2" s="110"/>
      <c r="N2" s="110"/>
      <c r="O2" s="110"/>
      <c r="P2" s="120"/>
      <c r="Q2" s="120"/>
      <c r="R2" s="120"/>
    </row>
    <row r="3" spans="2:18" ht="19.5" customHeight="1" thickBot="1">
      <c r="B3" s="257" t="s">
        <v>43</v>
      </c>
      <c r="C3" s="258"/>
      <c r="D3" s="102" t="s">
        <v>23</v>
      </c>
      <c r="E3" s="2"/>
      <c r="F3" s="2"/>
      <c r="G3" s="2"/>
      <c r="I3" s="2"/>
      <c r="J3" s="2"/>
      <c r="K3" s="2"/>
      <c r="L3" s="5"/>
      <c r="M3" s="2"/>
      <c r="N3" s="2"/>
      <c r="O3" s="2"/>
    </row>
    <row r="4" spans="2:18" ht="19.5" customHeight="1">
      <c r="B4" s="246" t="s">
        <v>70</v>
      </c>
      <c r="C4" s="247"/>
      <c r="D4" s="145">
        <v>68075.02</v>
      </c>
      <c r="E4" s="2"/>
      <c r="F4" s="2"/>
      <c r="G4" s="2"/>
      <c r="I4" s="2"/>
      <c r="J4" s="2"/>
      <c r="K4" s="2"/>
      <c r="L4" s="5"/>
      <c r="M4" s="2"/>
      <c r="N4" s="2"/>
      <c r="O4" s="2"/>
    </row>
    <row r="5" spans="2:18" ht="19.5" customHeight="1">
      <c r="B5" s="240" t="s">
        <v>49</v>
      </c>
      <c r="C5" s="241"/>
      <c r="D5" s="103">
        <v>629380.80000000005</v>
      </c>
      <c r="E5" s="2"/>
      <c r="F5" s="2"/>
      <c r="G5" s="2"/>
      <c r="I5" s="2"/>
      <c r="J5" s="2"/>
      <c r="K5" s="6"/>
      <c r="L5" s="2"/>
      <c r="M5" s="2"/>
      <c r="N5" s="3"/>
      <c r="O5" s="2"/>
    </row>
    <row r="6" spans="2:18" ht="19.5" customHeight="1">
      <c r="B6" s="240" t="s">
        <v>29</v>
      </c>
      <c r="C6" s="241"/>
      <c r="D6" s="103">
        <v>605591.89</v>
      </c>
      <c r="E6" s="2"/>
      <c r="F6" s="2"/>
      <c r="G6" s="2"/>
      <c r="I6" s="2"/>
      <c r="J6" s="2"/>
      <c r="K6" s="6"/>
      <c r="L6" s="2"/>
      <c r="M6" s="2"/>
      <c r="N6" s="3"/>
      <c r="O6" s="2"/>
    </row>
    <row r="7" spans="2:18" ht="19.5" customHeight="1" thickBot="1">
      <c r="B7" s="242" t="s">
        <v>71</v>
      </c>
      <c r="C7" s="243"/>
      <c r="D7" s="104">
        <f>D4+D5-D6</f>
        <v>91863.930000000051</v>
      </c>
      <c r="E7" s="2"/>
      <c r="F7" s="2"/>
      <c r="G7" s="2"/>
      <c r="I7" s="2"/>
      <c r="J7" s="2"/>
      <c r="K7" s="6"/>
      <c r="L7" s="2"/>
      <c r="M7" s="2"/>
      <c r="N7" s="3"/>
      <c r="O7" s="2"/>
    </row>
    <row r="8" spans="2:18" ht="19.5" customHeight="1" thickBot="1">
      <c r="B8" s="203" t="s">
        <v>97</v>
      </c>
      <c r="C8" s="259"/>
      <c r="D8" s="158">
        <f>D6</f>
        <v>605591.89</v>
      </c>
      <c r="E8" s="6"/>
      <c r="F8" s="2"/>
      <c r="G8" s="2"/>
      <c r="L8" s="2"/>
      <c r="M8" s="2"/>
      <c r="N8" s="6"/>
      <c r="O8" s="2"/>
      <c r="P8" s="2"/>
      <c r="Q8" s="6"/>
      <c r="R8" s="2"/>
    </row>
    <row r="9" spans="2:18" ht="19.5" customHeight="1" thickBot="1">
      <c r="B9" s="162" t="s">
        <v>44</v>
      </c>
      <c r="C9" s="163"/>
      <c r="D9" s="37" t="s">
        <v>23</v>
      </c>
      <c r="E9" s="10"/>
      <c r="L9" s="110"/>
      <c r="M9" s="110"/>
      <c r="N9" s="110"/>
      <c r="O9" s="110"/>
      <c r="P9" s="110"/>
      <c r="Q9" s="110"/>
      <c r="R9" s="110"/>
    </row>
    <row r="10" spans="2:18" ht="19.5" customHeight="1">
      <c r="B10" s="195" t="s">
        <v>8</v>
      </c>
      <c r="C10" s="196"/>
      <c r="D10" s="38">
        <f>D11+D12+D13+D14+D15</f>
        <v>206435.86</v>
      </c>
      <c r="E10" s="11"/>
      <c r="F10" s="70"/>
      <c r="G10" s="70"/>
      <c r="H10" s="2"/>
      <c r="L10" s="126"/>
      <c r="M10" s="126"/>
      <c r="N10" s="10"/>
      <c r="O10" s="2"/>
      <c r="P10" s="2"/>
      <c r="Q10" s="6"/>
      <c r="R10" s="2"/>
    </row>
    <row r="11" spans="2:18" ht="19.5" customHeight="1">
      <c r="B11" s="192" t="s">
        <v>2</v>
      </c>
      <c r="C11" s="167"/>
      <c r="D11" s="66">
        <v>163017</v>
      </c>
      <c r="E11" s="11"/>
      <c r="F11" s="70"/>
      <c r="G11" s="70"/>
      <c r="H11" s="2"/>
      <c r="L11" s="125"/>
      <c r="M11" s="125"/>
      <c r="N11" s="11"/>
      <c r="O11" s="2"/>
      <c r="P11" s="2"/>
      <c r="Q11" s="6"/>
      <c r="R11" s="2"/>
    </row>
    <row r="12" spans="2:18" ht="19.5" customHeight="1">
      <c r="B12" s="164" t="s">
        <v>99</v>
      </c>
      <c r="C12" s="168"/>
      <c r="D12" s="66">
        <f>195946.43-D11</f>
        <v>32929.429999999993</v>
      </c>
      <c r="E12" s="11"/>
      <c r="F12" s="70"/>
      <c r="G12" s="71"/>
      <c r="L12" s="125"/>
      <c r="M12" s="125"/>
      <c r="N12" s="11"/>
      <c r="O12" s="2"/>
      <c r="P12" s="2"/>
      <c r="Q12" s="2"/>
      <c r="R12" s="2"/>
    </row>
    <row r="13" spans="2:18" ht="19.5" customHeight="1">
      <c r="B13" s="164" t="s">
        <v>115</v>
      </c>
      <c r="C13" s="165"/>
      <c r="D13" s="66">
        <v>3319.85</v>
      </c>
      <c r="E13" s="12"/>
      <c r="F13" s="70"/>
      <c r="G13" s="71"/>
      <c r="L13" s="125"/>
      <c r="M13" s="125"/>
      <c r="N13" s="11"/>
      <c r="O13" s="2"/>
      <c r="P13" s="2"/>
      <c r="Q13" s="2"/>
      <c r="R13" s="2"/>
    </row>
    <row r="14" spans="2:18" ht="19.5" customHeight="1">
      <c r="B14" s="164" t="s">
        <v>72</v>
      </c>
      <c r="C14" s="165"/>
      <c r="D14" s="66">
        <v>6519.58</v>
      </c>
      <c r="E14" s="12"/>
      <c r="F14" s="70"/>
      <c r="G14" s="70"/>
      <c r="L14" s="127"/>
      <c r="M14" s="127"/>
      <c r="N14" s="12"/>
      <c r="O14" s="2"/>
      <c r="P14" s="2"/>
      <c r="Q14" s="2"/>
      <c r="R14" s="2"/>
    </row>
    <row r="15" spans="2:18" ht="19.5" customHeight="1" thickBot="1">
      <c r="B15" s="166" t="s">
        <v>40</v>
      </c>
      <c r="C15" s="217"/>
      <c r="D15" s="39">
        <v>650</v>
      </c>
      <c r="E15" s="12"/>
      <c r="F15" s="70"/>
      <c r="G15" s="70"/>
      <c r="L15" s="123"/>
      <c r="M15" s="123"/>
      <c r="N15" s="12"/>
      <c r="O15" s="2"/>
      <c r="P15" s="2"/>
      <c r="Q15" s="2"/>
      <c r="R15" s="2"/>
    </row>
    <row r="16" spans="2:18" ht="19.5" customHeight="1" thickBot="1">
      <c r="B16" s="214" t="s">
        <v>4</v>
      </c>
      <c r="C16" s="215"/>
      <c r="D16" s="40">
        <v>50904</v>
      </c>
      <c r="E16" s="12"/>
      <c r="F16" s="70"/>
      <c r="G16" s="70"/>
      <c r="L16" s="127"/>
      <c r="M16" s="127"/>
      <c r="N16" s="12"/>
      <c r="O16" s="2"/>
      <c r="P16" s="2"/>
      <c r="Q16" s="2"/>
      <c r="R16" s="2"/>
    </row>
    <row r="17" spans="2:18" ht="19.5" customHeight="1">
      <c r="B17" s="171" t="s">
        <v>14</v>
      </c>
      <c r="C17" s="172"/>
      <c r="D17" s="53">
        <f>D18+D19+D20+D21+D22+D24+D25+D27+D28+D29+D30+D26+D23</f>
        <v>245748.98</v>
      </c>
      <c r="E17" s="12"/>
      <c r="F17" s="70"/>
      <c r="G17" s="70"/>
      <c r="L17" s="127"/>
      <c r="M17" s="127"/>
      <c r="N17" s="12"/>
      <c r="O17" s="2"/>
      <c r="P17" s="2"/>
      <c r="Q17" s="2"/>
      <c r="R17" s="2"/>
    </row>
    <row r="18" spans="2:18" ht="19.5" customHeight="1">
      <c r="B18" s="175" t="s">
        <v>116</v>
      </c>
      <c r="C18" s="176"/>
      <c r="D18" s="72">
        <f>14822.59-D13-D19-936.85</f>
        <v>10158.68</v>
      </c>
      <c r="E18" s="12"/>
      <c r="F18" s="70"/>
      <c r="G18" s="70"/>
      <c r="L18" s="127"/>
      <c r="M18" s="127"/>
      <c r="N18" s="12"/>
      <c r="O18" s="2"/>
      <c r="P18" s="2"/>
      <c r="Q18" s="2"/>
      <c r="R18" s="2"/>
    </row>
    <row r="19" spans="2:18" ht="19.5" customHeight="1">
      <c r="B19" s="223" t="s">
        <v>5</v>
      </c>
      <c r="C19" s="224"/>
      <c r="D19" s="73">
        <v>407.21</v>
      </c>
      <c r="E19" s="12"/>
      <c r="F19" s="70"/>
      <c r="G19" s="70"/>
      <c r="L19" s="128"/>
      <c r="M19" s="129"/>
      <c r="N19" s="12"/>
      <c r="O19" s="2"/>
      <c r="P19" s="2"/>
      <c r="Q19" s="2"/>
      <c r="R19" s="2"/>
    </row>
    <row r="20" spans="2:18" ht="19.5" customHeight="1">
      <c r="B20" s="255" t="s">
        <v>41</v>
      </c>
      <c r="C20" s="256"/>
      <c r="D20" s="41">
        <v>9719.99</v>
      </c>
      <c r="E20" s="11"/>
      <c r="F20" s="70"/>
      <c r="G20" s="70"/>
      <c r="L20" s="130"/>
      <c r="M20" s="131"/>
      <c r="N20" s="11"/>
      <c r="O20" s="2"/>
      <c r="P20" s="2"/>
      <c r="Q20" s="3"/>
      <c r="R20" s="2"/>
    </row>
    <row r="21" spans="2:18" ht="19.5" customHeight="1">
      <c r="B21" s="212" t="s">
        <v>117</v>
      </c>
      <c r="C21" s="213"/>
      <c r="D21" s="41">
        <v>149742.79999999999</v>
      </c>
      <c r="E21" s="11"/>
      <c r="F21" s="70"/>
      <c r="G21" s="70"/>
      <c r="L21" s="132"/>
      <c r="M21" s="133"/>
      <c r="N21" s="11"/>
      <c r="O21" s="2"/>
      <c r="P21" s="2"/>
      <c r="Q21" s="2"/>
      <c r="R21" s="2"/>
    </row>
    <row r="22" spans="2:18" ht="19.5" customHeight="1">
      <c r="B22" s="192" t="s">
        <v>99</v>
      </c>
      <c r="C22" s="167"/>
      <c r="D22" s="39">
        <v>30137.54</v>
      </c>
      <c r="E22" s="13"/>
      <c r="F22" s="70"/>
      <c r="G22" s="70"/>
      <c r="L22" s="125"/>
      <c r="M22" s="125"/>
      <c r="N22" s="11"/>
      <c r="O22" s="2"/>
      <c r="P22" s="2"/>
      <c r="Q22" s="2"/>
      <c r="R22" s="2"/>
    </row>
    <row r="23" spans="2:18" ht="19.5" customHeight="1">
      <c r="B23" s="149" t="s">
        <v>96</v>
      </c>
      <c r="C23" s="148"/>
      <c r="D23" s="39">
        <v>2990.94</v>
      </c>
      <c r="E23" s="13"/>
      <c r="F23" s="70"/>
      <c r="G23" s="70"/>
      <c r="L23" s="125"/>
      <c r="M23" s="125"/>
      <c r="N23" s="11"/>
      <c r="O23" s="2"/>
      <c r="P23" s="2"/>
      <c r="Q23" s="2"/>
      <c r="R23" s="2"/>
    </row>
    <row r="24" spans="2:18" ht="19.5" customHeight="1">
      <c r="B24" s="164" t="s">
        <v>32</v>
      </c>
      <c r="C24" s="165"/>
      <c r="D24" s="39">
        <f>836.85+100+1827.53</f>
        <v>2764.38</v>
      </c>
      <c r="E24" s="74"/>
      <c r="F24" s="70"/>
      <c r="G24" s="83"/>
      <c r="L24" s="121"/>
      <c r="M24" s="122"/>
      <c r="N24" s="13"/>
      <c r="O24" s="2"/>
      <c r="P24" s="2"/>
      <c r="Q24" s="2"/>
      <c r="R24" s="2"/>
    </row>
    <row r="25" spans="2:18" ht="19.5" customHeight="1">
      <c r="B25" s="164" t="s">
        <v>84</v>
      </c>
      <c r="C25" s="165"/>
      <c r="D25" s="39">
        <v>4000</v>
      </c>
      <c r="E25" s="74"/>
      <c r="F25" s="70"/>
      <c r="G25" s="83"/>
      <c r="L25" s="121"/>
      <c r="M25" s="122"/>
      <c r="N25" s="13"/>
      <c r="O25" s="2"/>
      <c r="P25" s="2"/>
      <c r="Q25" s="2"/>
      <c r="R25" s="2"/>
    </row>
    <row r="26" spans="2:18" ht="19.5" customHeight="1">
      <c r="B26" s="164" t="s">
        <v>74</v>
      </c>
      <c r="C26" s="165"/>
      <c r="D26" s="39">
        <v>6000</v>
      </c>
      <c r="E26" s="74"/>
      <c r="F26" s="70"/>
      <c r="G26" s="83"/>
      <c r="L26" s="121"/>
      <c r="M26" s="122"/>
      <c r="N26" s="13"/>
      <c r="O26" s="2"/>
      <c r="P26" s="2"/>
      <c r="Q26" s="2"/>
      <c r="R26" s="2"/>
    </row>
    <row r="27" spans="2:18" ht="19.5" customHeight="1">
      <c r="B27" s="166" t="s">
        <v>19</v>
      </c>
      <c r="C27" s="248"/>
      <c r="D27" s="39">
        <v>13617.99</v>
      </c>
      <c r="E27" s="70"/>
      <c r="F27" s="70"/>
      <c r="G27" s="70"/>
      <c r="L27" s="85"/>
      <c r="M27" s="85"/>
      <c r="N27" s="6"/>
      <c r="O27" s="2"/>
      <c r="P27" s="8"/>
      <c r="Q27" s="2"/>
      <c r="R27" s="2"/>
    </row>
    <row r="28" spans="2:18" ht="19.5" customHeight="1">
      <c r="B28" s="166" t="s">
        <v>33</v>
      </c>
      <c r="C28" s="167"/>
      <c r="D28" s="39">
        <v>596.5</v>
      </c>
      <c r="E28" s="70"/>
      <c r="F28" s="70"/>
      <c r="G28" s="70"/>
      <c r="L28" s="85"/>
      <c r="M28" s="85"/>
      <c r="N28" s="2"/>
      <c r="O28" s="2"/>
      <c r="P28" s="2"/>
      <c r="Q28" s="2"/>
      <c r="R28" s="2"/>
    </row>
    <row r="29" spans="2:18" ht="19.5" customHeight="1">
      <c r="B29" s="175" t="s">
        <v>106</v>
      </c>
      <c r="C29" s="176"/>
      <c r="D29" s="39">
        <v>1452.95</v>
      </c>
      <c r="E29" s="70"/>
      <c r="F29" s="70"/>
      <c r="G29" s="70"/>
      <c r="L29" s="85"/>
      <c r="M29" s="85"/>
      <c r="N29" s="2"/>
      <c r="O29" s="2"/>
      <c r="P29" s="2"/>
      <c r="Q29" s="2"/>
      <c r="R29" s="2"/>
    </row>
    <row r="30" spans="2:18" ht="19.5" customHeight="1" thickBot="1">
      <c r="B30" s="188" t="s">
        <v>152</v>
      </c>
      <c r="C30" s="189"/>
      <c r="D30" s="39">
        <v>14160</v>
      </c>
      <c r="E30" s="70"/>
      <c r="F30" s="70"/>
      <c r="G30" s="70"/>
      <c r="L30" s="85"/>
      <c r="M30" s="85"/>
      <c r="N30" s="2"/>
      <c r="O30" s="2"/>
      <c r="P30" s="2"/>
      <c r="Q30" s="2"/>
      <c r="R30" s="2"/>
    </row>
    <row r="31" spans="2:18" ht="19.5" customHeight="1" thickBot="1">
      <c r="B31" s="193" t="s">
        <v>42</v>
      </c>
      <c r="C31" s="205"/>
      <c r="D31" s="44">
        <v>293.48</v>
      </c>
      <c r="E31" s="70"/>
      <c r="F31" s="70"/>
      <c r="G31" s="70"/>
      <c r="L31" s="2"/>
      <c r="M31" s="2"/>
      <c r="N31" s="2"/>
      <c r="O31" s="2"/>
      <c r="P31" s="2"/>
      <c r="Q31" s="2"/>
      <c r="R31" s="2"/>
    </row>
    <row r="32" spans="2:18" ht="19.5" customHeight="1" thickBot="1">
      <c r="B32" s="193" t="s">
        <v>142</v>
      </c>
      <c r="C32" s="194"/>
      <c r="D32" s="40">
        <v>1844.27</v>
      </c>
      <c r="E32" s="70"/>
      <c r="F32" s="70"/>
      <c r="G32" s="70"/>
      <c r="L32" s="2"/>
      <c r="M32" s="2"/>
      <c r="N32" s="2"/>
      <c r="O32" s="2"/>
      <c r="P32" s="2"/>
      <c r="Q32" s="2"/>
      <c r="R32" s="2"/>
    </row>
    <row r="33" spans="2:18" ht="19.5" customHeight="1">
      <c r="B33" s="171" t="s">
        <v>31</v>
      </c>
      <c r="C33" s="172"/>
      <c r="D33" s="38">
        <f>D34+D35+D36+D37+D38+D39+D40+D41+D42+D43</f>
        <v>150145.97000000003</v>
      </c>
      <c r="E33" s="70"/>
      <c r="F33" s="70"/>
      <c r="G33" s="70"/>
      <c r="L33" s="2"/>
      <c r="M33" s="2"/>
      <c r="N33" s="2"/>
      <c r="O33" s="2"/>
      <c r="P33" s="2"/>
      <c r="Q33" s="2"/>
      <c r="R33" s="2"/>
    </row>
    <row r="34" spans="2:18" ht="19.5" customHeight="1">
      <c r="B34" s="175" t="s">
        <v>139</v>
      </c>
      <c r="C34" s="176"/>
      <c r="D34" s="66">
        <v>78485.52</v>
      </c>
      <c r="E34" s="70"/>
      <c r="F34" s="70"/>
      <c r="G34" s="70"/>
      <c r="L34" s="2"/>
      <c r="M34" s="2"/>
      <c r="N34" s="8"/>
      <c r="O34" s="2"/>
      <c r="P34" s="2"/>
      <c r="Q34" s="2"/>
      <c r="R34" s="2"/>
    </row>
    <row r="35" spans="2:18" ht="19.5" customHeight="1">
      <c r="B35" s="164" t="s">
        <v>99</v>
      </c>
      <c r="C35" s="168"/>
      <c r="D35" s="66">
        <v>15834.43</v>
      </c>
      <c r="E35" s="70"/>
      <c r="F35" s="70"/>
      <c r="G35" s="70"/>
      <c r="L35" s="2"/>
      <c r="M35" s="2"/>
      <c r="N35" s="8"/>
      <c r="O35" s="2"/>
      <c r="P35" s="2"/>
      <c r="Q35" s="2"/>
      <c r="R35" s="2"/>
    </row>
    <row r="36" spans="2:18" ht="19.5" customHeight="1">
      <c r="B36" s="164" t="s">
        <v>101</v>
      </c>
      <c r="C36" s="168"/>
      <c r="D36" s="66">
        <v>26505.39</v>
      </c>
      <c r="E36" s="70"/>
      <c r="F36" s="70"/>
      <c r="G36" s="70"/>
      <c r="L36" s="2"/>
      <c r="M36" s="2"/>
      <c r="N36" s="8"/>
      <c r="O36" s="2"/>
      <c r="P36" s="2"/>
      <c r="Q36" s="2"/>
      <c r="R36" s="2"/>
    </row>
    <row r="37" spans="2:18" ht="19.5" customHeight="1">
      <c r="B37" s="164" t="s">
        <v>118</v>
      </c>
      <c r="C37" s="168"/>
      <c r="D37" s="66">
        <v>2612.2399999999998</v>
      </c>
      <c r="E37" s="70"/>
      <c r="F37" s="70"/>
      <c r="G37" s="70"/>
      <c r="L37" s="2"/>
      <c r="M37" s="2"/>
      <c r="N37" s="2"/>
      <c r="O37" s="2"/>
      <c r="P37" s="2"/>
      <c r="Q37" s="2"/>
      <c r="R37" s="2"/>
    </row>
    <row r="38" spans="2:18" ht="19.5" customHeight="1">
      <c r="B38" s="164" t="s">
        <v>1</v>
      </c>
      <c r="C38" s="168"/>
      <c r="D38" s="66">
        <v>6317.39</v>
      </c>
      <c r="E38" s="70"/>
      <c r="F38" s="70"/>
      <c r="G38" s="70"/>
      <c r="L38" s="2"/>
      <c r="M38" s="2"/>
      <c r="N38" s="2"/>
      <c r="O38" s="2"/>
      <c r="P38" s="2"/>
      <c r="Q38" s="2"/>
      <c r="R38" s="2"/>
    </row>
    <row r="39" spans="2:18" ht="19.5" customHeight="1">
      <c r="B39" s="192" t="s">
        <v>103</v>
      </c>
      <c r="C39" s="167"/>
      <c r="D39" s="66">
        <v>2045.46</v>
      </c>
      <c r="E39" s="70"/>
      <c r="F39" s="70"/>
      <c r="G39" s="70"/>
      <c r="L39" s="2"/>
      <c r="M39" s="2"/>
      <c r="N39" s="2"/>
      <c r="O39" s="2"/>
      <c r="P39" s="2"/>
      <c r="Q39" s="2"/>
      <c r="R39" s="2"/>
    </row>
    <row r="40" spans="2:18" ht="19.5" customHeight="1">
      <c r="B40" s="192" t="s">
        <v>0</v>
      </c>
      <c r="C40" s="167"/>
      <c r="D40" s="66">
        <f>531.16+622.05</f>
        <v>1153.21</v>
      </c>
      <c r="E40" s="70"/>
      <c r="F40" s="70"/>
      <c r="G40" s="70"/>
      <c r="L40" s="2"/>
      <c r="M40" s="2"/>
      <c r="N40" s="2"/>
      <c r="O40" s="2"/>
      <c r="P40" s="2"/>
      <c r="Q40" s="2"/>
      <c r="R40" s="2"/>
    </row>
    <row r="41" spans="2:18" ht="19.5" customHeight="1">
      <c r="B41" s="192" t="s">
        <v>109</v>
      </c>
      <c r="C41" s="167"/>
      <c r="D41" s="66">
        <v>769.32</v>
      </c>
      <c r="E41" s="70"/>
      <c r="F41" s="70"/>
      <c r="G41" s="70"/>
      <c r="L41" s="2"/>
      <c r="M41" s="2"/>
      <c r="N41" s="2"/>
      <c r="O41" s="2"/>
      <c r="P41" s="2"/>
      <c r="Q41" s="2"/>
      <c r="R41" s="2"/>
    </row>
    <row r="42" spans="2:18" ht="19.5" customHeight="1">
      <c r="B42" s="192" t="s">
        <v>13</v>
      </c>
      <c r="C42" s="167"/>
      <c r="D42" s="66">
        <v>1411.89</v>
      </c>
      <c r="E42" s="70"/>
      <c r="F42" s="70"/>
      <c r="G42" s="70"/>
      <c r="L42" s="2"/>
      <c r="M42" s="2"/>
      <c r="N42" s="2"/>
      <c r="O42" s="2"/>
      <c r="P42" s="2"/>
      <c r="Q42" s="2"/>
      <c r="R42" s="2"/>
    </row>
    <row r="43" spans="2:18" ht="19.5" customHeight="1" thickBot="1">
      <c r="B43" s="206" t="s">
        <v>104</v>
      </c>
      <c r="C43" s="207"/>
      <c r="D43" s="81">
        <v>15011.12</v>
      </c>
      <c r="E43" s="70"/>
      <c r="F43" s="70"/>
      <c r="G43" s="70"/>
      <c r="L43" s="2"/>
      <c r="M43" s="2"/>
      <c r="N43" s="2"/>
      <c r="O43" s="2"/>
      <c r="P43" s="2"/>
      <c r="Q43" s="2"/>
      <c r="R43" s="2"/>
    </row>
    <row r="44" spans="2:18" ht="19.5" customHeight="1" thickBot="1">
      <c r="B44" s="262" t="s">
        <v>98</v>
      </c>
      <c r="C44" s="263"/>
      <c r="D44" s="114">
        <f>D10+D16+D17+D31+D32+D33</f>
        <v>655372.56000000006</v>
      </c>
      <c r="E44" s="70"/>
      <c r="F44" s="70"/>
      <c r="G44" s="71"/>
      <c r="L44" s="2"/>
      <c r="M44" s="2"/>
      <c r="N44" s="2"/>
      <c r="O44" s="2"/>
      <c r="P44" s="2"/>
      <c r="Q44" s="2"/>
      <c r="R44" s="2"/>
    </row>
    <row r="45" spans="2:18" hidden="1">
      <c r="B45" s="260"/>
      <c r="C45" s="260"/>
      <c r="D45" s="83"/>
      <c r="E45" s="70"/>
      <c r="F45" s="70"/>
      <c r="G45" s="70"/>
      <c r="L45" s="2"/>
      <c r="M45" s="2"/>
      <c r="N45" s="2"/>
      <c r="O45" s="2"/>
      <c r="P45" s="2"/>
      <c r="Q45" s="2"/>
      <c r="R45" s="2"/>
    </row>
    <row r="46" spans="2:18">
      <c r="B46" s="260"/>
      <c r="C46" s="260"/>
      <c r="D46" s="8"/>
    </row>
    <row r="47" spans="2:18">
      <c r="B47" s="261"/>
      <c r="C47" s="261"/>
      <c r="E47" s="7"/>
      <c r="F47" s="7"/>
    </row>
  </sheetData>
  <mergeCells count="45">
    <mergeCell ref="B45:C45"/>
    <mergeCell ref="B46:C46"/>
    <mergeCell ref="B47:C47"/>
    <mergeCell ref="B39:C39"/>
    <mergeCell ref="B40:C40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  <mergeCell ref="B32:C32"/>
    <mergeCell ref="B33:C33"/>
    <mergeCell ref="B13:C13"/>
    <mergeCell ref="B8:C8"/>
    <mergeCell ref="B16:C16"/>
    <mergeCell ref="B17:C17"/>
    <mergeCell ref="B14:C14"/>
    <mergeCell ref="B9:C9"/>
    <mergeCell ref="B10:C10"/>
    <mergeCell ref="B11:C11"/>
    <mergeCell ref="B12:C12"/>
    <mergeCell ref="B27:C27"/>
    <mergeCell ref="B19:C19"/>
    <mergeCell ref="B18:C18"/>
    <mergeCell ref="B25:C25"/>
    <mergeCell ref="B26:C26"/>
    <mergeCell ref="B2:D2"/>
    <mergeCell ref="B29:C29"/>
    <mergeCell ref="B31:C31"/>
    <mergeCell ref="B30:C30"/>
    <mergeCell ref="B15:C15"/>
    <mergeCell ref="B20:C20"/>
    <mergeCell ref="B3:C3"/>
    <mergeCell ref="B5:C5"/>
    <mergeCell ref="B6:C6"/>
    <mergeCell ref="B7:C7"/>
    <mergeCell ref="B4:C4"/>
    <mergeCell ref="B28:C28"/>
    <mergeCell ref="B21:C21"/>
    <mergeCell ref="B22:C22"/>
    <mergeCell ref="B24:C24"/>
  </mergeCells>
  <pageMargins left="0.11811023622047245" right="0.11811023622047245" top="0.15748031496062992" bottom="0.15748031496062992" header="0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5"/>
  <sheetViews>
    <sheetView topLeftCell="A4" workbookViewId="0">
      <selection activeCell="B17" sqref="B17:C17"/>
    </sheetView>
  </sheetViews>
  <sheetFormatPr defaultRowHeight="15"/>
  <cols>
    <col min="1" max="1" width="5.28515625" customWidth="1"/>
    <col min="3" max="3" width="74.140625" customWidth="1"/>
    <col min="4" max="4" width="18.5703125" customWidth="1"/>
    <col min="5" max="5" width="9.140625" customWidth="1"/>
    <col min="7" max="7" width="12.42578125" customWidth="1"/>
    <col min="8" max="8" width="24.5703125" customWidth="1"/>
  </cols>
  <sheetData>
    <row r="1" spans="2:8" ht="34.5" customHeight="1" thickBot="1">
      <c r="B1" s="199" t="s">
        <v>173</v>
      </c>
      <c r="C1" s="200"/>
      <c r="D1" s="201"/>
      <c r="E1" s="110"/>
    </row>
    <row r="2" spans="2:8" ht="19.5" customHeight="1" thickBot="1">
      <c r="B2" s="218" t="s">
        <v>52</v>
      </c>
      <c r="C2" s="218"/>
      <c r="D2" s="95" t="s">
        <v>23</v>
      </c>
      <c r="E2" s="6"/>
      <c r="F2" s="25"/>
      <c r="G2" s="25"/>
      <c r="H2" s="25"/>
    </row>
    <row r="3" spans="2:8" ht="19.5" customHeight="1">
      <c r="B3" s="219" t="s">
        <v>58</v>
      </c>
      <c r="C3" s="219"/>
      <c r="D3" s="46">
        <v>31364.98</v>
      </c>
      <c r="E3" s="2"/>
    </row>
    <row r="4" spans="2:8" ht="19.5" customHeight="1">
      <c r="B4" s="220" t="s">
        <v>48</v>
      </c>
      <c r="C4" s="220"/>
      <c r="D4" s="47">
        <v>352433.64</v>
      </c>
      <c r="E4" s="6"/>
      <c r="F4" s="5"/>
      <c r="G4" s="2"/>
    </row>
    <row r="5" spans="2:8" ht="19.5" customHeight="1">
      <c r="B5" s="220" t="s">
        <v>29</v>
      </c>
      <c r="C5" s="220"/>
      <c r="D5" s="47">
        <v>342830.31</v>
      </c>
      <c r="E5" s="6"/>
      <c r="F5" s="5"/>
      <c r="G5" s="2"/>
    </row>
    <row r="6" spans="2:8" ht="19.5" customHeight="1" thickBot="1">
      <c r="B6" s="222" t="s">
        <v>59</v>
      </c>
      <c r="C6" s="222"/>
      <c r="D6" s="106">
        <f>D3+D4-D5</f>
        <v>40968.31</v>
      </c>
      <c r="E6" s="13"/>
      <c r="F6" s="79"/>
      <c r="G6" s="85"/>
      <c r="H6" s="70"/>
    </row>
    <row r="7" spans="2:8" ht="19.5" customHeight="1" thickBot="1">
      <c r="B7" s="244" t="s">
        <v>97</v>
      </c>
      <c r="C7" s="245"/>
      <c r="D7" s="159">
        <f>D5</f>
        <v>342830.31</v>
      </c>
      <c r="E7" s="69"/>
      <c r="F7" s="85"/>
      <c r="G7" s="85"/>
      <c r="H7" s="70"/>
    </row>
    <row r="8" spans="2:8" ht="19.5" customHeight="1" thickBot="1">
      <c r="B8" s="249" t="s">
        <v>44</v>
      </c>
      <c r="C8" s="250"/>
      <c r="D8" s="56" t="s">
        <v>23</v>
      </c>
      <c r="E8" s="10"/>
      <c r="F8" s="69"/>
      <c r="G8" s="85"/>
      <c r="H8" s="70"/>
    </row>
    <row r="9" spans="2:8" ht="19.5" customHeight="1" thickBot="1">
      <c r="B9" s="266" t="s">
        <v>8</v>
      </c>
      <c r="C9" s="267"/>
      <c r="D9" s="53">
        <f>D10+D11+D12+D13+D14</f>
        <v>130733.09</v>
      </c>
      <c r="E9" s="11"/>
      <c r="F9" s="70"/>
      <c r="G9" s="70"/>
      <c r="H9" s="70"/>
    </row>
    <row r="10" spans="2:8" ht="19.5" customHeight="1">
      <c r="B10" s="264" t="s">
        <v>2</v>
      </c>
      <c r="C10" s="265"/>
      <c r="D10" s="39">
        <v>102980</v>
      </c>
      <c r="E10" s="11"/>
      <c r="F10" s="70"/>
      <c r="G10" s="69"/>
      <c r="H10" s="85"/>
    </row>
    <row r="11" spans="2:8" ht="19.5" customHeight="1">
      <c r="B11" s="164" t="s">
        <v>99</v>
      </c>
      <c r="C11" s="168"/>
      <c r="D11" s="39">
        <f>123781.96-D10</f>
        <v>20801.960000000006</v>
      </c>
      <c r="E11" s="11"/>
      <c r="F11" s="70"/>
      <c r="G11" s="71"/>
      <c r="H11" s="85"/>
    </row>
    <row r="12" spans="2:8" ht="19.5" customHeight="1">
      <c r="B12" s="164" t="s">
        <v>105</v>
      </c>
      <c r="C12" s="165"/>
      <c r="D12" s="39">
        <v>4033.45</v>
      </c>
      <c r="E12" s="12"/>
      <c r="F12" s="70"/>
      <c r="G12" s="71"/>
      <c r="H12" s="70"/>
    </row>
    <row r="13" spans="2:8" ht="19.5" customHeight="1">
      <c r="B13" s="166" t="s">
        <v>40</v>
      </c>
      <c r="C13" s="217"/>
      <c r="D13" s="39">
        <v>650</v>
      </c>
      <c r="E13" s="12"/>
      <c r="F13" s="70"/>
      <c r="G13" s="70"/>
      <c r="H13" s="70"/>
    </row>
    <row r="14" spans="2:8" ht="19.5" customHeight="1" thickBot="1">
      <c r="B14" s="188" t="s">
        <v>72</v>
      </c>
      <c r="C14" s="189"/>
      <c r="D14" s="39">
        <v>2267.6799999999998</v>
      </c>
      <c r="E14" s="12"/>
      <c r="F14" s="70"/>
      <c r="G14" s="70"/>
      <c r="H14" s="70"/>
    </row>
    <row r="15" spans="2:8" ht="19.5" customHeight="1" thickBot="1">
      <c r="B15" s="169" t="s">
        <v>4</v>
      </c>
      <c r="C15" s="170"/>
      <c r="D15" s="40">
        <v>24574.32</v>
      </c>
      <c r="E15" s="12"/>
      <c r="F15" s="70"/>
      <c r="G15" s="70"/>
      <c r="H15" s="70"/>
    </row>
    <row r="16" spans="2:8" ht="19.5" customHeight="1">
      <c r="B16" s="171" t="s">
        <v>14</v>
      </c>
      <c r="C16" s="172"/>
      <c r="D16" s="38">
        <f>D17+D18+D19+D20+D22+D23+D24+D25+D26+D27+D21</f>
        <v>189384.02</v>
      </c>
      <c r="E16" s="12"/>
      <c r="F16" s="70"/>
      <c r="G16" s="70"/>
      <c r="H16" s="70"/>
    </row>
    <row r="17" spans="2:8" ht="19.5" customHeight="1">
      <c r="B17" s="175" t="s">
        <v>112</v>
      </c>
      <c r="C17" s="176"/>
      <c r="D17" s="75">
        <f>9689.21-D12-731.85</f>
        <v>4923.9099999999989</v>
      </c>
      <c r="E17" s="12"/>
      <c r="F17" s="70"/>
      <c r="G17" s="70"/>
      <c r="H17" s="70"/>
    </row>
    <row r="18" spans="2:8" ht="19.5" customHeight="1">
      <c r="B18" s="212" t="s">
        <v>117</v>
      </c>
      <c r="C18" s="213"/>
      <c r="D18" s="65">
        <v>83849.64</v>
      </c>
      <c r="E18" s="12"/>
      <c r="F18" s="70"/>
      <c r="G18" s="70"/>
      <c r="H18" s="70"/>
    </row>
    <row r="19" spans="2:8" ht="19.5" customHeight="1">
      <c r="B19" s="192" t="s">
        <v>99</v>
      </c>
      <c r="C19" s="167"/>
      <c r="D19" s="66">
        <v>16875.75</v>
      </c>
      <c r="E19" s="11"/>
      <c r="F19" s="70"/>
      <c r="G19" s="70"/>
      <c r="H19" s="70"/>
    </row>
    <row r="20" spans="2:8" ht="19.5" customHeight="1">
      <c r="B20" s="164" t="s">
        <v>32</v>
      </c>
      <c r="C20" s="165"/>
      <c r="D20" s="66">
        <f>631.85+100+1019.75</f>
        <v>1751.6</v>
      </c>
      <c r="E20" s="11"/>
      <c r="F20" s="70"/>
      <c r="G20" s="70"/>
      <c r="H20" s="70"/>
    </row>
    <row r="21" spans="2:8" ht="19.5" customHeight="1">
      <c r="B21" s="149" t="s">
        <v>96</v>
      </c>
      <c r="C21" s="148"/>
      <c r="D21" s="66">
        <v>1668.93</v>
      </c>
      <c r="E21" s="11"/>
      <c r="F21" s="70"/>
      <c r="G21" s="70"/>
      <c r="H21" s="70"/>
    </row>
    <row r="22" spans="2:8" ht="19.5" customHeight="1">
      <c r="B22" s="166" t="s">
        <v>19</v>
      </c>
      <c r="C22" s="248"/>
      <c r="D22" s="66">
        <v>7598.76</v>
      </c>
      <c r="E22" s="11"/>
      <c r="F22" s="70"/>
      <c r="G22" s="70"/>
      <c r="H22" s="70"/>
    </row>
    <row r="23" spans="2:8" ht="19.5" customHeight="1">
      <c r="B23" s="166" t="s">
        <v>33</v>
      </c>
      <c r="C23" s="167"/>
      <c r="D23" s="66">
        <v>332.84</v>
      </c>
      <c r="E23" s="13"/>
      <c r="F23" s="70"/>
      <c r="G23" s="70"/>
      <c r="H23" s="70"/>
    </row>
    <row r="24" spans="2:8" ht="19.5" customHeight="1">
      <c r="B24" s="164" t="s">
        <v>95</v>
      </c>
      <c r="C24" s="165"/>
      <c r="D24" s="66">
        <v>61880.35</v>
      </c>
      <c r="E24" s="13"/>
      <c r="F24" s="70"/>
      <c r="G24" s="70"/>
      <c r="H24" s="70"/>
    </row>
    <row r="25" spans="2:8" ht="19.5" customHeight="1">
      <c r="B25" s="175" t="s">
        <v>119</v>
      </c>
      <c r="C25" s="176"/>
      <c r="D25" s="66">
        <v>810.74</v>
      </c>
      <c r="E25" s="74"/>
      <c r="F25" s="70"/>
      <c r="G25" s="70"/>
      <c r="H25" s="70"/>
    </row>
    <row r="26" spans="2:8" ht="19.5" customHeight="1">
      <c r="B26" s="164" t="s">
        <v>41</v>
      </c>
      <c r="C26" s="165"/>
      <c r="D26" s="66">
        <v>1051.5</v>
      </c>
      <c r="E26" s="74"/>
      <c r="F26" s="70"/>
      <c r="G26" s="70"/>
      <c r="H26" s="70"/>
    </row>
    <row r="27" spans="2:8" ht="19.5" customHeight="1" thickBot="1">
      <c r="B27" s="188" t="s">
        <v>152</v>
      </c>
      <c r="C27" s="189"/>
      <c r="D27" s="81">
        <v>8640</v>
      </c>
      <c r="E27" s="70"/>
      <c r="F27" s="70"/>
      <c r="G27" s="70"/>
      <c r="H27" s="70"/>
    </row>
    <row r="28" spans="2:8" ht="19.5" customHeight="1" thickBot="1">
      <c r="B28" s="268" t="s">
        <v>42</v>
      </c>
      <c r="C28" s="269"/>
      <c r="D28" s="43">
        <v>163.76</v>
      </c>
      <c r="E28" s="70"/>
      <c r="F28" s="70"/>
      <c r="G28" s="70"/>
      <c r="H28" s="70"/>
    </row>
    <row r="29" spans="2:8" ht="19.5" customHeight="1" thickBot="1">
      <c r="B29" s="193" t="s">
        <v>142</v>
      </c>
      <c r="C29" s="194"/>
      <c r="D29" s="40">
        <v>1029.0899999999999</v>
      </c>
      <c r="E29" s="70"/>
      <c r="F29" s="70"/>
      <c r="G29" s="83"/>
      <c r="H29" s="70"/>
    </row>
    <row r="30" spans="2:8" ht="19.5" customHeight="1">
      <c r="B30" s="171" t="s">
        <v>24</v>
      </c>
      <c r="C30" s="172"/>
      <c r="D30" s="38">
        <f>D31+D32+D33+D34+D35+D36+D37+D38+D39+D40</f>
        <v>83484.13</v>
      </c>
      <c r="E30" s="70"/>
      <c r="F30" s="70"/>
      <c r="G30" s="70"/>
      <c r="H30" s="70"/>
    </row>
    <row r="31" spans="2:8" ht="19.5" customHeight="1">
      <c r="B31" s="175" t="s">
        <v>139</v>
      </c>
      <c r="C31" s="176"/>
      <c r="D31" s="66">
        <v>43794.43</v>
      </c>
      <c r="E31" s="70"/>
      <c r="F31" s="70"/>
      <c r="G31" s="70"/>
      <c r="H31" s="70"/>
    </row>
    <row r="32" spans="2:8" ht="19.5" customHeight="1">
      <c r="B32" s="164" t="s">
        <v>99</v>
      </c>
      <c r="C32" s="168"/>
      <c r="D32" s="66">
        <v>8835.51</v>
      </c>
      <c r="E32" s="70"/>
      <c r="F32" s="70"/>
      <c r="G32" s="70"/>
      <c r="H32" s="70"/>
    </row>
    <row r="33" spans="2:8" ht="19.5" customHeight="1">
      <c r="B33" s="164" t="s">
        <v>101</v>
      </c>
      <c r="C33" s="168"/>
      <c r="D33" s="66">
        <v>14789.84</v>
      </c>
      <c r="E33" s="70"/>
      <c r="F33" s="70"/>
      <c r="G33" s="70"/>
      <c r="H33" s="70"/>
    </row>
    <row r="34" spans="2:8" ht="19.5" customHeight="1">
      <c r="B34" s="164" t="s">
        <v>102</v>
      </c>
      <c r="C34" s="168"/>
      <c r="D34" s="66">
        <v>1457.62</v>
      </c>
      <c r="E34" s="70"/>
      <c r="F34" s="70"/>
      <c r="G34" s="70"/>
      <c r="H34" s="70"/>
    </row>
    <row r="35" spans="2:8" ht="19.5" customHeight="1">
      <c r="B35" s="164" t="s">
        <v>1</v>
      </c>
      <c r="C35" s="168"/>
      <c r="D35" s="66">
        <v>3525.06</v>
      </c>
      <c r="E35" s="70"/>
      <c r="F35" s="70"/>
      <c r="G35" s="70"/>
      <c r="H35" s="70"/>
    </row>
    <row r="36" spans="2:8" ht="19.5" customHeight="1">
      <c r="B36" s="192" t="s">
        <v>103</v>
      </c>
      <c r="C36" s="167"/>
      <c r="D36" s="66">
        <v>1141.3499999999999</v>
      </c>
      <c r="E36" s="70"/>
      <c r="F36" s="70"/>
      <c r="G36" s="70"/>
      <c r="H36" s="70"/>
    </row>
    <row r="37" spans="2:8" ht="19.5" customHeight="1">
      <c r="B37" s="192" t="s">
        <v>0</v>
      </c>
      <c r="C37" s="167"/>
      <c r="D37" s="66">
        <v>347.1</v>
      </c>
      <c r="E37" s="70"/>
      <c r="F37" s="70"/>
      <c r="G37" s="70"/>
      <c r="H37" s="70"/>
    </row>
    <row r="38" spans="2:8" ht="19.5" customHeight="1">
      <c r="B38" s="192" t="s">
        <v>109</v>
      </c>
      <c r="C38" s="167"/>
      <c r="D38" s="66">
        <v>429.28</v>
      </c>
      <c r="E38" s="70"/>
      <c r="F38" s="70"/>
      <c r="G38" s="70"/>
      <c r="H38" s="70"/>
    </row>
    <row r="39" spans="2:8" ht="19.5" customHeight="1">
      <c r="B39" s="192" t="s">
        <v>13</v>
      </c>
      <c r="C39" s="167"/>
      <c r="D39" s="66">
        <v>787.83</v>
      </c>
      <c r="E39" s="70"/>
      <c r="F39" s="70"/>
      <c r="G39" s="70"/>
      <c r="H39" s="70"/>
    </row>
    <row r="40" spans="2:8" ht="19.5" customHeight="1" thickBot="1">
      <c r="B40" s="206" t="s">
        <v>104</v>
      </c>
      <c r="C40" s="207"/>
      <c r="D40" s="81">
        <v>8376.11</v>
      </c>
      <c r="E40" s="70"/>
      <c r="F40" s="70"/>
      <c r="G40" s="70"/>
      <c r="H40" s="70"/>
    </row>
    <row r="41" spans="2:8" ht="19.5" customHeight="1" thickBot="1">
      <c r="B41" s="208" t="s">
        <v>98</v>
      </c>
      <c r="C41" s="204"/>
      <c r="D41" s="112">
        <f>D9+D15+D16+D28+D29+D30</f>
        <v>429368.41000000003</v>
      </c>
      <c r="E41" s="70"/>
      <c r="F41" s="70"/>
      <c r="G41" s="71"/>
      <c r="H41" s="70"/>
    </row>
    <row r="42" spans="2:8">
      <c r="B42" s="230"/>
      <c r="C42" s="230"/>
      <c r="D42" s="31"/>
    </row>
    <row r="43" spans="2:8">
      <c r="B43" s="230"/>
      <c r="C43" s="230"/>
      <c r="D43" s="31"/>
    </row>
    <row r="44" spans="2:8">
      <c r="B44" s="231"/>
      <c r="C44" s="231"/>
      <c r="D44" s="28"/>
    </row>
    <row r="45" spans="2:8">
      <c r="B45" s="35"/>
      <c r="C45" s="35"/>
      <c r="D45" s="35"/>
    </row>
  </sheetData>
  <mergeCells count="43">
    <mergeCell ref="B1:D1"/>
    <mergeCell ref="B42:C42"/>
    <mergeCell ref="B43:C43"/>
    <mergeCell ref="B44:C44"/>
    <mergeCell ref="B32:C32"/>
    <mergeCell ref="B38:C38"/>
    <mergeCell ref="B39:C39"/>
    <mergeCell ref="B40:C40"/>
    <mergeCell ref="B33:C33"/>
    <mergeCell ref="B34:C34"/>
    <mergeCell ref="B35:C35"/>
    <mergeCell ref="B36:C36"/>
    <mergeCell ref="B37:C37"/>
    <mergeCell ref="B18:C18"/>
    <mergeCell ref="B27:C27"/>
    <mergeCell ref="B29:C29"/>
    <mergeCell ref="B31:C31"/>
    <mergeCell ref="B26:C26"/>
    <mergeCell ref="B28:C28"/>
    <mergeCell ref="B23:C23"/>
    <mergeCell ref="B25:C25"/>
    <mergeCell ref="B24:C24"/>
    <mergeCell ref="B16:C16"/>
    <mergeCell ref="B17:C17"/>
    <mergeCell ref="B19:C19"/>
    <mergeCell ref="B20:C20"/>
    <mergeCell ref="B30:C30"/>
    <mergeCell ref="B41:C41"/>
    <mergeCell ref="B13:C13"/>
    <mergeCell ref="B7:C7"/>
    <mergeCell ref="B3:C3"/>
    <mergeCell ref="B2:C2"/>
    <mergeCell ref="B4:C4"/>
    <mergeCell ref="B5:C5"/>
    <mergeCell ref="B6:C6"/>
    <mergeCell ref="B10:C10"/>
    <mergeCell ref="B8:C8"/>
    <mergeCell ref="B9:C9"/>
    <mergeCell ref="B11:C11"/>
    <mergeCell ref="B12:C12"/>
    <mergeCell ref="B22:C22"/>
    <mergeCell ref="B14:C14"/>
    <mergeCell ref="B15:C15"/>
  </mergeCells>
  <pageMargins left="0.11811023622047245" right="0.11811023622047245" top="0.15748031496062992" bottom="0.15748031496062992" header="0" footer="0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4"/>
  <sheetViews>
    <sheetView topLeftCell="B1" workbookViewId="0">
      <selection activeCell="C28" sqref="C28:D28"/>
    </sheetView>
  </sheetViews>
  <sheetFormatPr defaultRowHeight="15"/>
  <cols>
    <col min="1" max="1" width="9.140625" hidden="1" customWidth="1"/>
    <col min="2" max="2" width="2.42578125" customWidth="1"/>
    <col min="4" max="4" width="69.85546875" customWidth="1"/>
    <col min="5" max="5" width="18.42578125" customWidth="1"/>
    <col min="6" max="6" width="10.7109375" customWidth="1"/>
    <col min="7" max="7" width="13.140625" customWidth="1"/>
    <col min="8" max="8" width="11.140625" customWidth="1"/>
    <col min="10" max="10" width="22" customWidth="1"/>
  </cols>
  <sheetData>
    <row r="1" spans="3:10" ht="36" customHeight="1" thickBot="1">
      <c r="C1" s="233" t="s">
        <v>150</v>
      </c>
      <c r="D1" s="234"/>
      <c r="E1" s="235"/>
      <c r="F1" s="18"/>
    </row>
    <row r="2" spans="3:10" ht="19.5" customHeight="1" thickBot="1">
      <c r="C2" s="270" t="s">
        <v>43</v>
      </c>
      <c r="D2" s="271"/>
      <c r="E2" s="45" t="s">
        <v>23</v>
      </c>
      <c r="F2" s="6"/>
    </row>
    <row r="3" spans="3:10" ht="19.5" customHeight="1">
      <c r="C3" s="240" t="s">
        <v>70</v>
      </c>
      <c r="D3" s="241"/>
      <c r="E3" s="47">
        <v>74912.210000000006</v>
      </c>
      <c r="F3" s="9"/>
      <c r="G3" s="18"/>
      <c r="H3" s="19"/>
      <c r="I3" s="19"/>
      <c r="J3" s="19"/>
    </row>
    <row r="4" spans="3:10" ht="19.5" customHeight="1">
      <c r="C4" s="240" t="s">
        <v>49</v>
      </c>
      <c r="D4" s="241"/>
      <c r="E4" s="47">
        <v>634810.96</v>
      </c>
      <c r="F4" s="17"/>
      <c r="G4" s="18"/>
      <c r="H4" s="19"/>
      <c r="I4" s="19"/>
      <c r="J4" s="19"/>
    </row>
    <row r="5" spans="3:10" ht="19.5" customHeight="1">
      <c r="C5" s="240" t="s">
        <v>29</v>
      </c>
      <c r="D5" s="241"/>
      <c r="E5" s="105">
        <v>584846.72</v>
      </c>
      <c r="F5" s="69"/>
      <c r="G5" s="84"/>
      <c r="H5" s="67"/>
      <c r="I5" s="19"/>
      <c r="J5" s="19"/>
    </row>
    <row r="6" spans="3:10" ht="19.5" customHeight="1" thickBot="1">
      <c r="C6" s="242" t="s">
        <v>71</v>
      </c>
      <c r="D6" s="243"/>
      <c r="E6" s="106">
        <f>E3+E4-E5</f>
        <v>124876.44999999995</v>
      </c>
      <c r="F6" s="69"/>
      <c r="G6" s="84"/>
      <c r="H6" s="67"/>
      <c r="I6" s="19"/>
      <c r="J6" s="19"/>
    </row>
    <row r="7" spans="3:10" ht="19.5" customHeight="1" thickBot="1">
      <c r="C7" s="244" t="s">
        <v>97</v>
      </c>
      <c r="D7" s="245"/>
      <c r="E7" s="159">
        <f>E5</f>
        <v>584846.72</v>
      </c>
      <c r="F7" s="10"/>
      <c r="G7" s="70"/>
      <c r="H7" s="70"/>
      <c r="I7" s="2"/>
      <c r="J7" s="2"/>
    </row>
    <row r="8" spans="3:10" ht="19.5" customHeight="1" thickBot="1">
      <c r="C8" s="249" t="s">
        <v>44</v>
      </c>
      <c r="D8" s="250"/>
      <c r="E8" s="56" t="s">
        <v>23</v>
      </c>
      <c r="F8" s="11"/>
      <c r="G8" s="69"/>
      <c r="H8" s="69"/>
      <c r="I8" s="3"/>
    </row>
    <row r="9" spans="3:10" ht="19.5" customHeight="1" thickBot="1">
      <c r="C9" s="266" t="s">
        <v>8</v>
      </c>
      <c r="D9" s="267"/>
      <c r="E9" s="53">
        <f>E10+E11+E12+E13+E14</f>
        <v>200891.66999999998</v>
      </c>
      <c r="F9" s="11"/>
      <c r="G9" s="70"/>
      <c r="H9" s="70"/>
      <c r="I9" s="6"/>
    </row>
    <row r="10" spans="3:10" ht="19.5" customHeight="1">
      <c r="C10" s="264" t="s">
        <v>2</v>
      </c>
      <c r="D10" s="265"/>
      <c r="E10" s="65">
        <v>159448.92000000001</v>
      </c>
      <c r="F10" s="12"/>
      <c r="G10" s="70"/>
      <c r="H10" s="70"/>
      <c r="I10" s="9"/>
      <c r="J10" s="9"/>
    </row>
    <row r="11" spans="3:10" ht="19.5" customHeight="1">
      <c r="C11" s="164" t="s">
        <v>99</v>
      </c>
      <c r="D11" s="168"/>
      <c r="E11" s="66">
        <f>191376.03-E10</f>
        <v>31927.109999999986</v>
      </c>
      <c r="F11" s="12"/>
      <c r="G11" s="70"/>
      <c r="H11" s="70"/>
      <c r="I11" s="6"/>
    </row>
    <row r="12" spans="3:10" ht="19.5" customHeight="1">
      <c r="C12" s="164" t="s">
        <v>105</v>
      </c>
      <c r="D12" s="165"/>
      <c r="E12" s="39">
        <v>4188.55</v>
      </c>
      <c r="F12" s="12"/>
      <c r="G12" s="70"/>
      <c r="H12" s="70"/>
      <c r="I12" s="6"/>
    </row>
    <row r="13" spans="3:10" ht="19.5" customHeight="1">
      <c r="C13" s="166" t="s">
        <v>40</v>
      </c>
      <c r="D13" s="217"/>
      <c r="E13" s="39">
        <v>650</v>
      </c>
      <c r="F13" s="12"/>
      <c r="G13" s="71"/>
      <c r="H13" s="70"/>
      <c r="I13" s="6"/>
    </row>
    <row r="14" spans="3:10" ht="19.5" customHeight="1" thickBot="1">
      <c r="C14" s="164" t="s">
        <v>120</v>
      </c>
      <c r="D14" s="165"/>
      <c r="E14" s="39">
        <v>4677.09</v>
      </c>
      <c r="F14" s="12"/>
      <c r="G14" s="71"/>
      <c r="H14" s="70"/>
      <c r="I14" s="6"/>
    </row>
    <row r="15" spans="3:10" ht="19.5" customHeight="1" thickBot="1">
      <c r="C15" s="214" t="s">
        <v>4</v>
      </c>
      <c r="D15" s="215"/>
      <c r="E15" s="40">
        <v>43369.98</v>
      </c>
      <c r="F15" s="12"/>
      <c r="G15" s="70"/>
      <c r="H15" s="70"/>
      <c r="I15" s="2"/>
    </row>
    <row r="16" spans="3:10" ht="19.5" customHeight="1">
      <c r="C16" s="171" t="s">
        <v>14</v>
      </c>
      <c r="D16" s="172"/>
      <c r="E16" s="38">
        <f>E17+E18+E19+E20+E21+E23+E24+E25+E26+E27+E28+E22</f>
        <v>379747.52</v>
      </c>
      <c r="F16" s="12"/>
      <c r="G16" s="70"/>
      <c r="H16" s="70"/>
    </row>
    <row r="17" spans="3:10" ht="19.5" customHeight="1">
      <c r="C17" s="175" t="s">
        <v>121</v>
      </c>
      <c r="D17" s="176"/>
      <c r="E17" s="75">
        <f>21042.12-E12-E18-1584.54</f>
        <v>11304.149999999998</v>
      </c>
      <c r="F17" s="12"/>
      <c r="G17" s="70"/>
      <c r="H17" s="70"/>
    </row>
    <row r="18" spans="3:10" ht="19.5" customHeight="1">
      <c r="C18" s="223" t="s">
        <v>5</v>
      </c>
      <c r="D18" s="224"/>
      <c r="E18" s="76">
        <v>3964.88</v>
      </c>
      <c r="F18" s="11"/>
      <c r="G18" s="70"/>
      <c r="H18" s="70"/>
    </row>
    <row r="19" spans="3:10" ht="19.5" customHeight="1">
      <c r="C19" s="212" t="s">
        <v>117</v>
      </c>
      <c r="D19" s="213"/>
      <c r="E19" s="65">
        <v>151048.01</v>
      </c>
      <c r="F19" s="11"/>
      <c r="G19" s="70"/>
      <c r="H19" s="70"/>
      <c r="I19" s="2"/>
      <c r="J19" s="2"/>
    </row>
    <row r="20" spans="3:10" ht="19.5" customHeight="1">
      <c r="C20" s="192" t="s">
        <v>99</v>
      </c>
      <c r="D20" s="167"/>
      <c r="E20" s="66">
        <v>30400.23</v>
      </c>
      <c r="F20" s="11"/>
      <c r="G20" s="70"/>
      <c r="H20" s="70"/>
    </row>
    <row r="21" spans="3:10" ht="19.5" customHeight="1">
      <c r="C21" s="164" t="s">
        <v>32</v>
      </c>
      <c r="D21" s="165"/>
      <c r="E21" s="66">
        <f>1484.54+100+1838.99</f>
        <v>3423.5299999999997</v>
      </c>
      <c r="F21" s="13"/>
      <c r="G21" s="70"/>
      <c r="H21" s="70"/>
    </row>
    <row r="22" spans="3:10" ht="19.5" customHeight="1">
      <c r="C22" s="150" t="s">
        <v>96</v>
      </c>
      <c r="D22" s="151"/>
      <c r="E22" s="66">
        <v>3009.7</v>
      </c>
      <c r="F22" s="13"/>
      <c r="G22" s="70"/>
      <c r="H22" s="70"/>
    </row>
    <row r="23" spans="3:10" ht="19.5" customHeight="1">
      <c r="C23" s="164" t="s">
        <v>152</v>
      </c>
      <c r="D23" s="165"/>
      <c r="E23" s="66">
        <v>12000</v>
      </c>
      <c r="F23" s="13"/>
      <c r="G23" s="70"/>
      <c r="H23" s="70"/>
    </row>
    <row r="24" spans="3:10" ht="19.5" customHeight="1">
      <c r="C24" s="166" t="s">
        <v>19</v>
      </c>
      <c r="D24" s="248"/>
      <c r="E24" s="66">
        <v>13703.37</v>
      </c>
      <c r="F24" s="74"/>
      <c r="G24" s="70"/>
      <c r="H24" s="70"/>
    </row>
    <row r="25" spans="3:10" ht="19.5" customHeight="1">
      <c r="C25" s="166" t="s">
        <v>33</v>
      </c>
      <c r="D25" s="167"/>
      <c r="E25" s="66">
        <v>600.24</v>
      </c>
      <c r="F25" s="70"/>
      <c r="G25" s="70"/>
      <c r="H25" s="70"/>
      <c r="I25" s="1"/>
    </row>
    <row r="26" spans="3:10" ht="19.5" customHeight="1">
      <c r="C26" s="166" t="s">
        <v>74</v>
      </c>
      <c r="D26" s="217"/>
      <c r="E26" s="66">
        <v>6000</v>
      </c>
      <c r="F26" s="70"/>
      <c r="G26" s="70"/>
      <c r="H26" s="70"/>
      <c r="I26" s="1"/>
    </row>
    <row r="27" spans="3:10" ht="19.5" customHeight="1">
      <c r="C27" s="175" t="s">
        <v>151</v>
      </c>
      <c r="D27" s="176"/>
      <c r="E27" s="66">
        <f>120+1462.06</f>
        <v>1582.06</v>
      </c>
      <c r="F27" s="70"/>
      <c r="G27" s="70"/>
      <c r="H27" s="70"/>
    </row>
    <row r="28" spans="3:10" ht="19.5" customHeight="1" thickBot="1">
      <c r="C28" s="188" t="s">
        <v>153</v>
      </c>
      <c r="D28" s="189"/>
      <c r="E28" s="81">
        <v>142711.35</v>
      </c>
      <c r="F28" s="70"/>
      <c r="G28" s="70"/>
      <c r="H28" s="83"/>
    </row>
    <row r="29" spans="3:10" ht="19.5" customHeight="1" thickBot="1">
      <c r="C29" s="268" t="s">
        <v>42</v>
      </c>
      <c r="D29" s="269"/>
      <c r="E29" s="43">
        <v>295.32</v>
      </c>
      <c r="F29" s="70"/>
      <c r="G29" s="70"/>
      <c r="H29" s="83"/>
    </row>
    <row r="30" spans="3:10" ht="19.5" customHeight="1" thickBot="1">
      <c r="C30" s="193" t="s">
        <v>142</v>
      </c>
      <c r="D30" s="194"/>
      <c r="E30" s="40">
        <v>1855.83</v>
      </c>
      <c r="F30" s="70"/>
      <c r="G30" s="70"/>
      <c r="H30" s="70"/>
    </row>
    <row r="31" spans="3:10" ht="19.5" customHeight="1">
      <c r="C31" s="171" t="s">
        <v>31</v>
      </c>
      <c r="D31" s="172"/>
      <c r="E31" s="38">
        <f>E32+E33+E34+E35+E36+E37+E38+E39+E40+E41</f>
        <v>151074.25</v>
      </c>
      <c r="F31" s="70"/>
      <c r="G31" s="70"/>
      <c r="H31" s="70"/>
    </row>
    <row r="32" spans="3:10" ht="19.5" customHeight="1">
      <c r="C32" s="175" t="s">
        <v>139</v>
      </c>
      <c r="D32" s="176"/>
      <c r="E32" s="66">
        <v>78977.59</v>
      </c>
      <c r="F32" s="70"/>
      <c r="G32" s="70"/>
      <c r="H32" s="70"/>
    </row>
    <row r="33" spans="3:8" ht="19.5" customHeight="1">
      <c r="C33" s="164" t="s">
        <v>99</v>
      </c>
      <c r="D33" s="168"/>
      <c r="E33" s="66">
        <v>15933.7</v>
      </c>
      <c r="F33" s="70"/>
      <c r="G33" s="70"/>
      <c r="H33" s="70"/>
    </row>
    <row r="34" spans="3:8" ht="19.5" customHeight="1">
      <c r="C34" s="164" t="s">
        <v>101</v>
      </c>
      <c r="D34" s="168"/>
      <c r="E34" s="66">
        <v>26671.57</v>
      </c>
      <c r="F34" s="70"/>
      <c r="G34" s="70"/>
      <c r="H34" s="70"/>
    </row>
    <row r="35" spans="3:8" ht="19.5" customHeight="1">
      <c r="C35" s="164" t="s">
        <v>102</v>
      </c>
      <c r="D35" s="168"/>
      <c r="E35" s="66">
        <v>2628.62</v>
      </c>
      <c r="F35" s="70"/>
      <c r="G35" s="70"/>
      <c r="H35" s="70"/>
    </row>
    <row r="36" spans="3:8" ht="19.5" customHeight="1">
      <c r="C36" s="164" t="s">
        <v>1</v>
      </c>
      <c r="D36" s="168"/>
      <c r="E36" s="66">
        <v>6356.99</v>
      </c>
      <c r="F36" s="70"/>
      <c r="G36" s="70"/>
      <c r="H36" s="70"/>
    </row>
    <row r="37" spans="3:8" ht="19.5" customHeight="1">
      <c r="C37" s="192" t="s">
        <v>103</v>
      </c>
      <c r="D37" s="167"/>
      <c r="E37" s="66">
        <v>2058.2800000000002</v>
      </c>
      <c r="F37" s="70"/>
      <c r="G37" s="70"/>
      <c r="H37" s="70"/>
    </row>
    <row r="38" spans="3:8" ht="19.5" customHeight="1">
      <c r="C38" s="192" t="s">
        <v>0</v>
      </c>
      <c r="D38" s="167"/>
      <c r="E38" s="66">
        <f>521.42+625.95</f>
        <v>1147.3699999999999</v>
      </c>
      <c r="F38" s="70"/>
      <c r="G38" s="70"/>
      <c r="H38" s="70"/>
    </row>
    <row r="39" spans="3:8" ht="19.5" customHeight="1">
      <c r="C39" s="192" t="s">
        <v>109</v>
      </c>
      <c r="D39" s="167"/>
      <c r="E39" s="66">
        <v>774.15</v>
      </c>
      <c r="F39" s="70"/>
      <c r="G39" s="70"/>
      <c r="H39" s="70"/>
    </row>
    <row r="40" spans="3:8" ht="19.5" customHeight="1">
      <c r="C40" s="192" t="s">
        <v>13</v>
      </c>
      <c r="D40" s="167"/>
      <c r="E40" s="66">
        <v>1420.75</v>
      </c>
      <c r="F40" s="70"/>
      <c r="G40" s="70"/>
      <c r="H40" s="70"/>
    </row>
    <row r="41" spans="3:8" ht="19.5" customHeight="1" thickBot="1">
      <c r="C41" s="192" t="s">
        <v>104</v>
      </c>
      <c r="D41" s="167"/>
      <c r="E41" s="81">
        <v>15105.23</v>
      </c>
      <c r="F41" s="70"/>
      <c r="G41" s="70"/>
      <c r="H41" s="70"/>
    </row>
    <row r="42" spans="3:8" ht="19.5" customHeight="1" thickBot="1">
      <c r="C42" s="138"/>
      <c r="D42" s="152" t="s">
        <v>98</v>
      </c>
      <c r="E42" s="139">
        <f>E9+E15+E16+E29+E30+E31</f>
        <v>777234.57</v>
      </c>
      <c r="F42" s="70"/>
      <c r="G42" s="71"/>
      <c r="H42" s="70"/>
    </row>
    <row r="43" spans="3:8" hidden="1">
      <c r="C43" s="272"/>
      <c r="D43" s="272"/>
      <c r="E43" s="6"/>
    </row>
    <row r="44" spans="3:8">
      <c r="C44" s="272"/>
      <c r="D44" s="272"/>
      <c r="E44" s="6"/>
      <c r="F44" s="21"/>
    </row>
    <row r="45" spans="3:8">
      <c r="C45" s="273"/>
      <c r="D45" s="273"/>
      <c r="E45" s="29"/>
      <c r="F45" s="16"/>
    </row>
    <row r="46" spans="3:8">
      <c r="C46" s="26"/>
      <c r="D46" s="26"/>
      <c r="E46" s="26"/>
      <c r="F46" s="16"/>
    </row>
    <row r="47" spans="3:8" ht="13.5" customHeight="1">
      <c r="C47" s="26"/>
      <c r="D47" s="26"/>
      <c r="E47" s="26"/>
      <c r="G47" s="21"/>
      <c r="H47" s="21"/>
    </row>
    <row r="48" spans="3:8" hidden="1">
      <c r="C48" s="16"/>
      <c r="D48" s="16"/>
      <c r="E48" s="16"/>
      <c r="G48" s="16"/>
      <c r="H48" s="16"/>
    </row>
    <row r="49" spans="7:15">
      <c r="G49" s="16"/>
      <c r="H49" s="16"/>
    </row>
    <row r="50" spans="7:15" ht="18.75" customHeight="1">
      <c r="I50" s="21"/>
      <c r="J50" s="21"/>
      <c r="K50" s="21"/>
      <c r="L50" s="16"/>
      <c r="M50" s="16"/>
      <c r="N50" s="14"/>
      <c r="O50" s="14"/>
    </row>
    <row r="51" spans="7:15" ht="9.75" customHeight="1">
      <c r="I51" s="16"/>
      <c r="J51" s="16"/>
      <c r="K51" s="16"/>
      <c r="N51" s="15"/>
      <c r="O51" s="15"/>
    </row>
    <row r="52" spans="7:15" ht="14.25" hidden="1" customHeight="1">
      <c r="I52" s="16"/>
      <c r="J52" s="16"/>
      <c r="K52" s="16"/>
      <c r="N52" s="15"/>
      <c r="O52" s="15"/>
    </row>
    <row r="53" spans="7:15" hidden="1"/>
    <row r="54" spans="7:15" ht="0.75" customHeight="1"/>
  </sheetData>
  <mergeCells count="43">
    <mergeCell ref="C43:D43"/>
    <mergeCell ref="C44:D44"/>
    <mergeCell ref="C45:D45"/>
    <mergeCell ref="C40:D40"/>
    <mergeCell ref="C41:D41"/>
    <mergeCell ref="C38:D38"/>
    <mergeCell ref="C39:D39"/>
    <mergeCell ref="C28:D28"/>
    <mergeCell ref="C30:D30"/>
    <mergeCell ref="C31:D31"/>
    <mergeCell ref="C32:D32"/>
    <mergeCell ref="C36:D36"/>
    <mergeCell ref="C33:D33"/>
    <mergeCell ref="C34:D34"/>
    <mergeCell ref="C35:D35"/>
    <mergeCell ref="C37:D37"/>
    <mergeCell ref="C29:D29"/>
    <mergeCell ref="C19:D19"/>
    <mergeCell ref="C21:D21"/>
    <mergeCell ref="C24:D24"/>
    <mergeCell ref="C26:D26"/>
    <mergeCell ref="C23:D23"/>
    <mergeCell ref="C1:E1"/>
    <mergeCell ref="C2:D2"/>
    <mergeCell ref="C3:D3"/>
    <mergeCell ref="C4:D4"/>
    <mergeCell ref="C5:D5"/>
    <mergeCell ref="C14:D14"/>
    <mergeCell ref="C13:D13"/>
    <mergeCell ref="C7:D7"/>
    <mergeCell ref="C6:D6"/>
    <mergeCell ref="C27:D27"/>
    <mergeCell ref="C8:D8"/>
    <mergeCell ref="C9:D9"/>
    <mergeCell ref="C12:D12"/>
    <mergeCell ref="C16:D16"/>
    <mergeCell ref="C10:D10"/>
    <mergeCell ref="C11:D11"/>
    <mergeCell ref="C15:D15"/>
    <mergeCell ref="C20:D20"/>
    <mergeCell ref="C25:D25"/>
    <mergeCell ref="C17:D17"/>
    <mergeCell ref="C18:D18"/>
  </mergeCells>
  <pageMargins left="0.11811023622047245" right="0.11811023622047245" top="0.15748031496062992" bottom="0.15748031496062992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6"/>
  <sheetViews>
    <sheetView topLeftCell="A22" workbookViewId="0">
      <selection activeCell="B33" sqref="B33:C33"/>
    </sheetView>
  </sheetViews>
  <sheetFormatPr defaultRowHeight="15"/>
  <cols>
    <col min="1" max="1" width="2.42578125" customWidth="1"/>
    <col min="3" max="3" width="72.5703125" customWidth="1"/>
    <col min="4" max="4" width="16.28515625" customWidth="1"/>
    <col min="5" max="5" width="13.140625" customWidth="1"/>
    <col min="7" max="7" width="17.7109375" customWidth="1"/>
  </cols>
  <sheetData>
    <row r="1" spans="2:8" ht="32.25" customHeight="1" thickBot="1">
      <c r="B1" s="233" t="s">
        <v>154</v>
      </c>
      <c r="C1" s="234"/>
      <c r="D1" s="235"/>
      <c r="E1" s="20"/>
      <c r="F1" s="25"/>
    </row>
    <row r="2" spans="2:8" ht="19.5" customHeight="1" thickBot="1">
      <c r="B2" s="276" t="s">
        <v>43</v>
      </c>
      <c r="C2" s="277"/>
      <c r="D2" s="98" t="s">
        <v>23</v>
      </c>
      <c r="E2" s="2"/>
      <c r="F2" s="2"/>
      <c r="G2" s="25"/>
      <c r="H2" s="25"/>
    </row>
    <row r="3" spans="2:8" ht="19.5" customHeight="1">
      <c r="B3" s="246" t="s">
        <v>70</v>
      </c>
      <c r="C3" s="247"/>
      <c r="D3" s="146">
        <v>123897.79</v>
      </c>
      <c r="E3" s="2"/>
      <c r="F3" s="2"/>
      <c r="G3" s="2"/>
      <c r="H3" s="2"/>
    </row>
    <row r="4" spans="2:8" ht="19.5" customHeight="1">
      <c r="B4" s="240" t="s">
        <v>49</v>
      </c>
      <c r="C4" s="241"/>
      <c r="D4" s="103">
        <v>625330.72</v>
      </c>
      <c r="E4" s="2"/>
      <c r="F4" s="2"/>
      <c r="G4" s="2"/>
      <c r="H4" s="2"/>
    </row>
    <row r="5" spans="2:8" ht="19.5" customHeight="1">
      <c r="B5" s="96" t="s">
        <v>29</v>
      </c>
      <c r="C5" s="97"/>
      <c r="D5" s="103">
        <v>658686.06000000006</v>
      </c>
      <c r="E5" s="2"/>
      <c r="F5" s="2"/>
      <c r="G5" s="2"/>
      <c r="H5" s="2"/>
    </row>
    <row r="6" spans="2:8" ht="19.5" customHeight="1" thickBot="1">
      <c r="B6" s="242" t="s">
        <v>71</v>
      </c>
      <c r="C6" s="243"/>
      <c r="D6" s="104">
        <f>D3+D4-D5</f>
        <v>90542.449999999953</v>
      </c>
      <c r="E6" s="2"/>
      <c r="F6" s="2"/>
      <c r="G6" s="2"/>
      <c r="H6" s="2"/>
    </row>
    <row r="7" spans="2:8" ht="19.5" customHeight="1" thickBot="1">
      <c r="B7" s="244" t="s">
        <v>97</v>
      </c>
      <c r="C7" s="245"/>
      <c r="D7" s="157">
        <f>D5</f>
        <v>658686.06000000006</v>
      </c>
      <c r="E7" s="6"/>
      <c r="F7" s="2"/>
    </row>
    <row r="8" spans="2:8" ht="19.5" customHeight="1" thickBot="1">
      <c r="B8" s="274" t="s">
        <v>44</v>
      </c>
      <c r="C8" s="275"/>
      <c r="D8" s="56" t="s">
        <v>23</v>
      </c>
      <c r="E8" s="6"/>
      <c r="G8" s="2"/>
    </row>
    <row r="9" spans="2:8" ht="19.5" customHeight="1">
      <c r="B9" s="195" t="s">
        <v>8</v>
      </c>
      <c r="C9" s="196"/>
      <c r="D9" s="53">
        <f>D10+D11+D12+D13+D14</f>
        <v>186363.64</v>
      </c>
      <c r="E9" s="69"/>
      <c r="F9" s="69"/>
      <c r="G9" s="70"/>
    </row>
    <row r="10" spans="2:8" ht="19.5" customHeight="1">
      <c r="B10" s="192" t="s">
        <v>2</v>
      </c>
      <c r="C10" s="167"/>
      <c r="D10" s="39">
        <v>149596</v>
      </c>
      <c r="E10" s="10"/>
      <c r="F10" s="70"/>
      <c r="G10" s="82"/>
      <c r="H10" s="2"/>
    </row>
    <row r="11" spans="2:8" ht="19.5" customHeight="1">
      <c r="B11" s="164" t="s">
        <v>99</v>
      </c>
      <c r="C11" s="168"/>
      <c r="D11" s="39">
        <f>179814.38-D10</f>
        <v>30218.380000000005</v>
      </c>
      <c r="E11" s="11"/>
      <c r="F11" s="70"/>
      <c r="G11" s="71"/>
      <c r="H11" s="2"/>
    </row>
    <row r="12" spans="2:8" ht="19.5" customHeight="1">
      <c r="B12" s="164" t="s">
        <v>105</v>
      </c>
      <c r="C12" s="165"/>
      <c r="D12" s="39">
        <v>3489.85</v>
      </c>
      <c r="E12" s="11"/>
      <c r="F12" s="70"/>
      <c r="G12" s="71"/>
    </row>
    <row r="13" spans="2:8" ht="19.5" customHeight="1">
      <c r="B13" s="166" t="s">
        <v>40</v>
      </c>
      <c r="C13" s="217"/>
      <c r="D13" s="39">
        <v>650</v>
      </c>
      <c r="E13" s="11"/>
      <c r="F13" s="70"/>
      <c r="G13" s="71"/>
    </row>
    <row r="14" spans="2:8" ht="19.5" customHeight="1" thickBot="1">
      <c r="B14" s="188" t="s">
        <v>72</v>
      </c>
      <c r="C14" s="189"/>
      <c r="D14" s="81">
        <v>2409.41</v>
      </c>
      <c r="E14" s="11"/>
      <c r="F14" s="70"/>
      <c r="G14" s="70"/>
    </row>
    <row r="15" spans="2:8" ht="19.5" customHeight="1" thickBot="1">
      <c r="B15" s="278" t="s">
        <v>4</v>
      </c>
      <c r="C15" s="279"/>
      <c r="D15" s="48">
        <v>42324.66</v>
      </c>
      <c r="E15" s="11"/>
      <c r="F15" s="70"/>
      <c r="G15" s="70"/>
    </row>
    <row r="16" spans="2:8" ht="19.5" customHeight="1">
      <c r="B16" s="171" t="s">
        <v>14</v>
      </c>
      <c r="C16" s="172"/>
      <c r="D16" s="38">
        <f>D17+D18+D19+D20+D21+D23+D24+D25+D26+D27+D28+D29+D22</f>
        <v>257902.90999999997</v>
      </c>
      <c r="E16" s="12"/>
      <c r="F16" s="70"/>
      <c r="G16" s="70"/>
    </row>
    <row r="17" spans="2:7" ht="19.5" customHeight="1">
      <c r="B17" s="175" t="s">
        <v>122</v>
      </c>
      <c r="C17" s="176"/>
      <c r="D17" s="72">
        <f>12136.21-D12-D18-1651</f>
        <v>6599.9499999999989</v>
      </c>
      <c r="E17" s="12"/>
      <c r="F17" s="70"/>
      <c r="G17" s="70"/>
    </row>
    <row r="18" spans="2:7" ht="19.5" customHeight="1">
      <c r="B18" s="223" t="s">
        <v>5</v>
      </c>
      <c r="C18" s="224"/>
      <c r="D18" s="73">
        <v>395.41</v>
      </c>
      <c r="E18" s="12"/>
      <c r="F18" s="70"/>
      <c r="G18" s="70"/>
    </row>
    <row r="19" spans="2:7" ht="19.5" customHeight="1">
      <c r="B19" s="255" t="s">
        <v>85</v>
      </c>
      <c r="C19" s="281"/>
      <c r="D19" s="41">
        <v>2013</v>
      </c>
      <c r="E19" s="12"/>
      <c r="F19" s="70"/>
      <c r="G19" s="70"/>
    </row>
    <row r="20" spans="2:7" ht="19.5" customHeight="1">
      <c r="B20" s="212" t="s">
        <v>117</v>
      </c>
      <c r="C20" s="213"/>
      <c r="D20" s="41">
        <v>148833.10999999999</v>
      </c>
      <c r="E20" s="12"/>
      <c r="F20" s="70"/>
      <c r="G20" s="70"/>
    </row>
    <row r="21" spans="2:7" ht="19.5" customHeight="1">
      <c r="B21" s="192" t="s">
        <v>99</v>
      </c>
      <c r="C21" s="167"/>
      <c r="D21" s="39">
        <v>29954.45</v>
      </c>
      <c r="E21" s="12"/>
      <c r="F21" s="70"/>
      <c r="G21" s="70"/>
    </row>
    <row r="22" spans="2:7" ht="19.5" customHeight="1">
      <c r="B22" s="149" t="s">
        <v>96</v>
      </c>
      <c r="C22" s="148"/>
      <c r="D22" s="39">
        <v>2972.19</v>
      </c>
      <c r="E22" s="12"/>
      <c r="F22" s="70"/>
      <c r="G22" s="70"/>
    </row>
    <row r="23" spans="2:7" ht="19.5" customHeight="1">
      <c r="B23" s="164" t="s">
        <v>32</v>
      </c>
      <c r="C23" s="165"/>
      <c r="D23" s="39">
        <f>1551+100+1816.08</f>
        <v>3467.08</v>
      </c>
      <c r="E23" s="11"/>
      <c r="F23" s="70"/>
      <c r="G23" s="70"/>
    </row>
    <row r="24" spans="2:7" ht="19.5" customHeight="1">
      <c r="B24" s="166" t="s">
        <v>19</v>
      </c>
      <c r="C24" s="248"/>
      <c r="D24" s="39">
        <f>680+13532.62</f>
        <v>14212.62</v>
      </c>
      <c r="E24" s="11"/>
      <c r="F24" s="70"/>
      <c r="G24" s="70"/>
    </row>
    <row r="25" spans="2:7" ht="19.5" customHeight="1">
      <c r="B25" s="166" t="s">
        <v>155</v>
      </c>
      <c r="C25" s="217"/>
      <c r="D25" s="39">
        <v>13440</v>
      </c>
      <c r="E25" s="11"/>
      <c r="F25" s="70"/>
      <c r="G25" s="70"/>
    </row>
    <row r="26" spans="2:7" ht="19.5" customHeight="1">
      <c r="B26" s="166" t="s">
        <v>33</v>
      </c>
      <c r="C26" s="167"/>
      <c r="D26" s="39">
        <v>592.76</v>
      </c>
      <c r="E26" s="11"/>
      <c r="F26" s="70"/>
      <c r="G26" s="70"/>
    </row>
    <row r="27" spans="2:7" ht="19.5" customHeight="1">
      <c r="B27" s="175" t="s">
        <v>123</v>
      </c>
      <c r="C27" s="176"/>
      <c r="D27" s="39">
        <v>1443.84</v>
      </c>
      <c r="E27" s="13"/>
      <c r="F27" s="70"/>
      <c r="G27" s="70"/>
    </row>
    <row r="28" spans="2:7" ht="19.5" customHeight="1">
      <c r="B28" s="164" t="s">
        <v>21</v>
      </c>
      <c r="C28" s="165"/>
      <c r="D28" s="66">
        <v>27678.5</v>
      </c>
      <c r="E28" s="13"/>
      <c r="F28" s="70"/>
      <c r="G28" s="70"/>
    </row>
    <row r="29" spans="2:7" ht="19.5" customHeight="1" thickBot="1">
      <c r="B29" s="188" t="s">
        <v>86</v>
      </c>
      <c r="C29" s="189"/>
      <c r="D29" s="81">
        <v>6300</v>
      </c>
      <c r="E29" s="13"/>
      <c r="F29" s="70"/>
      <c r="G29" s="70"/>
    </row>
    <row r="30" spans="2:7" ht="19.5" customHeight="1" thickBot="1">
      <c r="B30" s="193" t="s">
        <v>42</v>
      </c>
      <c r="C30" s="205"/>
      <c r="D30" s="43">
        <v>291.64</v>
      </c>
      <c r="E30" s="13"/>
      <c r="F30" s="70"/>
      <c r="G30" s="70"/>
    </row>
    <row r="31" spans="2:7" ht="19.5" customHeight="1" thickBot="1">
      <c r="B31" s="193" t="s">
        <v>142</v>
      </c>
      <c r="C31" s="194"/>
      <c r="D31" s="40">
        <v>1832.7</v>
      </c>
      <c r="E31" s="74"/>
      <c r="F31" s="70"/>
      <c r="G31" s="70"/>
    </row>
    <row r="32" spans="2:7" ht="19.5" customHeight="1">
      <c r="B32" s="171" t="s">
        <v>24</v>
      </c>
      <c r="C32" s="172"/>
      <c r="D32" s="38">
        <f>D33+D34+D35+D36+D37+D38+D39+D40+D41+D42</f>
        <v>148803.69</v>
      </c>
      <c r="E32" s="70"/>
      <c r="F32" s="70"/>
      <c r="G32" s="83"/>
    </row>
    <row r="33" spans="2:7" ht="19.5" customHeight="1">
      <c r="B33" s="175" t="s">
        <v>139</v>
      </c>
      <c r="C33" s="176"/>
      <c r="D33" s="66">
        <v>77993.45</v>
      </c>
      <c r="E33" s="70"/>
      <c r="F33" s="70"/>
      <c r="G33" s="70"/>
    </row>
    <row r="34" spans="2:7" ht="19.5" customHeight="1">
      <c r="B34" s="164" t="s">
        <v>99</v>
      </c>
      <c r="C34" s="168"/>
      <c r="D34" s="66">
        <v>15735.15</v>
      </c>
      <c r="E34" s="70"/>
      <c r="F34" s="70"/>
      <c r="G34" s="70"/>
    </row>
    <row r="35" spans="2:7" ht="19.5" customHeight="1">
      <c r="B35" s="164" t="s">
        <v>101</v>
      </c>
      <c r="C35" s="168"/>
      <c r="D35" s="66">
        <v>26339.21</v>
      </c>
      <c r="E35" s="70"/>
      <c r="F35" s="70"/>
      <c r="G35" s="70"/>
    </row>
    <row r="36" spans="2:7" ht="19.5" customHeight="1">
      <c r="B36" s="164" t="s">
        <v>102</v>
      </c>
      <c r="C36" s="168"/>
      <c r="D36" s="66">
        <v>2595.87</v>
      </c>
      <c r="E36" s="70"/>
      <c r="F36" s="70"/>
      <c r="G36" s="70"/>
    </row>
    <row r="37" spans="2:7" ht="19.5" customHeight="1">
      <c r="B37" s="164" t="s">
        <v>1</v>
      </c>
      <c r="C37" s="168"/>
      <c r="D37" s="66">
        <v>6277.78</v>
      </c>
      <c r="E37" s="70"/>
      <c r="F37" s="70"/>
      <c r="G37" s="70"/>
    </row>
    <row r="38" spans="2:7" ht="19.5" customHeight="1">
      <c r="B38" s="192" t="s">
        <v>103</v>
      </c>
      <c r="C38" s="167"/>
      <c r="D38" s="66">
        <v>2032.63</v>
      </c>
      <c r="E38" s="70"/>
      <c r="F38" s="70"/>
      <c r="G38" s="70"/>
    </row>
    <row r="39" spans="2:7" ht="19.5" customHeight="1">
      <c r="B39" s="192" t="s">
        <v>0</v>
      </c>
      <c r="C39" s="167"/>
      <c r="D39" s="66">
        <f>126.9+618.15</f>
        <v>745.05</v>
      </c>
      <c r="E39" s="70"/>
      <c r="F39" s="70"/>
      <c r="G39" s="70"/>
    </row>
    <row r="40" spans="2:7" ht="19.5" customHeight="1">
      <c r="B40" s="192" t="s">
        <v>12</v>
      </c>
      <c r="C40" s="167"/>
      <c r="D40" s="66">
        <v>764.5</v>
      </c>
      <c r="E40" s="70"/>
      <c r="F40" s="70"/>
      <c r="G40" s="70"/>
    </row>
    <row r="41" spans="2:7" ht="19.5" customHeight="1">
      <c r="B41" s="192" t="s">
        <v>13</v>
      </c>
      <c r="C41" s="167"/>
      <c r="D41" s="66">
        <v>1403.04</v>
      </c>
      <c r="E41" s="70"/>
      <c r="F41" s="70"/>
      <c r="G41" s="70"/>
    </row>
    <row r="42" spans="2:7" ht="19.5" customHeight="1" thickBot="1">
      <c r="B42" s="192" t="s">
        <v>104</v>
      </c>
      <c r="C42" s="167"/>
      <c r="D42" s="81">
        <v>14917.01</v>
      </c>
      <c r="E42" s="70"/>
      <c r="F42" s="70"/>
      <c r="G42" s="70"/>
    </row>
    <row r="43" spans="2:7" ht="19.5" customHeight="1" thickBot="1">
      <c r="B43" s="140"/>
      <c r="C43" s="152" t="s">
        <v>98</v>
      </c>
      <c r="D43" s="139">
        <f>D9+D15+D16+D30+D31+D32</f>
        <v>637519.24</v>
      </c>
      <c r="E43" s="70"/>
      <c r="F43" s="70"/>
      <c r="G43" s="71"/>
    </row>
    <row r="44" spans="2:7" ht="14.25" customHeight="1">
      <c r="B44" s="280"/>
      <c r="C44" s="280"/>
      <c r="D44" s="31"/>
    </row>
    <row r="45" spans="2:7">
      <c r="B45" s="280"/>
      <c r="C45" s="280"/>
      <c r="D45" s="31"/>
    </row>
    <row r="46" spans="2:7">
      <c r="B46" s="2"/>
      <c r="C46" s="2"/>
      <c r="D46" s="2"/>
    </row>
  </sheetData>
  <mergeCells count="42">
    <mergeCell ref="B36:C36"/>
    <mergeCell ref="B26:C26"/>
    <mergeCell ref="B13:C13"/>
    <mergeCell ref="B45:C45"/>
    <mergeCell ref="B42:C42"/>
    <mergeCell ref="B37:C37"/>
    <mergeCell ref="B38:C38"/>
    <mergeCell ref="B39:C39"/>
    <mergeCell ref="B40:C40"/>
    <mergeCell ref="B41:C41"/>
    <mergeCell ref="B28:C28"/>
    <mergeCell ref="B44:C44"/>
    <mergeCell ref="B30:C30"/>
    <mergeCell ref="B17:C17"/>
    <mergeCell ref="B18:C18"/>
    <mergeCell ref="B19:C19"/>
    <mergeCell ref="B35:C35"/>
    <mergeCell ref="B25:C25"/>
    <mergeCell ref="B14:C14"/>
    <mergeCell ref="B29:C29"/>
    <mergeCell ref="B15:C15"/>
    <mergeCell ref="B16:C16"/>
    <mergeCell ref="B27:C27"/>
    <mergeCell ref="B31:C31"/>
    <mergeCell ref="B32:C32"/>
    <mergeCell ref="B33:C33"/>
    <mergeCell ref="B34:C34"/>
    <mergeCell ref="B20:C20"/>
    <mergeCell ref="B21:C21"/>
    <mergeCell ref="B23:C23"/>
    <mergeCell ref="B24:C24"/>
    <mergeCell ref="B12:C12"/>
    <mergeCell ref="B1:D1"/>
    <mergeCell ref="B8:C8"/>
    <mergeCell ref="B9:C9"/>
    <mergeCell ref="B10:C10"/>
    <mergeCell ref="B11:C11"/>
    <mergeCell ref="B2:C2"/>
    <mergeCell ref="B3:C3"/>
    <mergeCell ref="B4:C4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С-95</vt:lpstr>
      <vt:lpstr>Ст-Д13а</vt:lpstr>
      <vt:lpstr>Г-19</vt:lpstr>
      <vt:lpstr>К-21</vt:lpstr>
      <vt:lpstr>Г-21</vt:lpstr>
      <vt:lpstr>К-25</vt:lpstr>
      <vt:lpstr>К-31А</vt:lpstr>
      <vt:lpstr>К-27А</vt:lpstr>
      <vt:lpstr>К-27</vt:lpstr>
      <vt:lpstr>К-47</vt:lpstr>
      <vt:lpstr>К-49</vt:lpstr>
      <vt:lpstr>Кр-162</vt:lpstr>
      <vt:lpstr>Кр-172</vt:lpstr>
      <vt:lpstr>Р-БР1А</vt:lpstr>
      <vt:lpstr>А-8</vt:lpstr>
      <vt:lpstr>К-45</vt:lpstr>
      <vt:lpstr>Р-7</vt:lpstr>
      <vt:lpstr>К-43</vt:lpstr>
      <vt:lpstr>К-64</vt:lpstr>
      <vt:lpstr>К-70</vt:lpstr>
      <vt:lpstr>Кр-31</vt:lpstr>
      <vt:lpstr>Кр-9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SK</cp:lastModifiedBy>
  <cp:lastPrinted>2018-03-27T11:46:02Z</cp:lastPrinted>
  <dcterms:created xsi:type="dcterms:W3CDTF">2014-05-21T07:06:30Z</dcterms:created>
  <dcterms:modified xsi:type="dcterms:W3CDTF">2018-03-27T11:47:01Z</dcterms:modified>
</cp:coreProperties>
</file>